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2"/>
  <workbookPr codeName="ThisWorkbook" defaultThemeVersion="166925"/>
  <mc:AlternateContent xmlns:mc="http://schemas.openxmlformats.org/markup-compatibility/2006">
    <mc:Choice Requires="x15">
      <x15ac:absPath xmlns:x15ac="http://schemas.microsoft.com/office/spreadsheetml/2010/11/ac" url="C:\Users\DaisyBidault\Desktop\"/>
    </mc:Choice>
  </mc:AlternateContent>
  <xr:revisionPtr revIDLastSave="0" documentId="8_{C060554A-B796-47EF-A673-57ADD92B1D89}" xr6:coauthVersionLast="47" xr6:coauthVersionMax="47" xr10:uidLastSave="{00000000-0000-0000-0000-000000000000}"/>
  <bookViews>
    <workbookView xWindow="-120" yWindow="-16320" windowWidth="29040" windowHeight="15720" xr2:uid="{50F46380-A779-49AC-B24F-A4743292A3DB}"/>
  </bookViews>
  <sheets>
    <sheet name="Cover" sheetId="2" r:id="rId1"/>
    <sheet name="Summary Sheet" sheetId="19" r:id="rId2"/>
    <sheet name="Inputs - List of Trees" sheetId="28" r:id="rId3"/>
    <sheet name="Input - General and Overview" sheetId="25" r:id="rId4"/>
    <sheet name="Input - Option 2 Detailed Input" sheetId="1" r:id="rId5"/>
    <sheet name="Option 1 - Cashflow" sheetId="27" r:id="rId6"/>
    <sheet name="Option 2 - Cashflow" sheetId="4" r:id="rId7"/>
    <sheet name="Option 3 - Cashflow" sheetId="29" r:id="rId8"/>
    <sheet name="Option 3 - Cost Data LookUp" sheetId="21" r:id="rId9"/>
    <sheet name="Additional Cost Directory" sheetId="31" r:id="rId10"/>
    <sheet name="Model Tech" sheetId="16" r:id="rId11"/>
  </sheets>
  <definedNames>
    <definedName name="Amsterdam_Tree_Soil">'Model Tech'!#REF!</definedName>
    <definedName name="Automatic">'Model Tech'!$B$6</definedName>
    <definedName name="AUTorMAN">'Model Tech'!$B$6:$B$7</definedName>
    <definedName name="Bareroot">'Model Tech'!$E$7</definedName>
    <definedName name="BulkNumber">'Model Tech'!$E$6</definedName>
    <definedName name="CashflowData">'Model Tech'!$C$8</definedName>
    <definedName name="Cellular_System">'Model Tech'!#REF!</definedName>
    <definedName name="ContainerisedRootballed">'Model Tech'!$E$6</definedName>
    <definedName name="DetailedList">'Model Tech'!$E$7</definedName>
    <definedName name="DiscountTrees">#REF!</definedName>
    <definedName name="Efficiency">#REF!</definedName>
    <definedName name="Endoflifesize">'Model Tech'!#REF!</definedName>
    <definedName name="ExistingTreePit">'Model Tech'!$D$6</definedName>
    <definedName name="HARD_LANDSCAPE">'Model Tech'!$B$9</definedName>
    <definedName name="IndividualTreePit">'Model Tech'!#REF!</definedName>
    <definedName name="InputorCashflow">'Model Tech'!$C$7:$C$8</definedName>
    <definedName name="Inputsheetdata">'Model Tech'!$C$7</definedName>
    <definedName name="IQ_ADDIN" hidden="1">"AUTO"</definedName>
    <definedName name="IQ_CH" hidden="1">110000</definedName>
    <definedName name="IQ_CQ" hidden="1">5000</definedName>
    <definedName name="IQ_CY" hidden="1">10000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MONTH" hidden="1">15000</definedName>
    <definedName name="IQ_NAMES_REVISION_DATE_" hidden="1">40246.6529166667</definedName>
    <definedName name="IQ_NTM" hidden="1">6000</definedName>
    <definedName name="IQ_TODAY" hidden="1">0</definedName>
    <definedName name="IQ_WEEK" hidden="1">50000</definedName>
    <definedName name="IQ_YTD" hidden="1">3000</definedName>
    <definedName name="Labour_Rates">#REF!</definedName>
    <definedName name="LandscapeTypes">'Model Tech'!$B$8:$B$9</definedName>
    <definedName name="Large_Maturity">'Model Tech'!#REF!</definedName>
    <definedName name="LoadBearingSystem">'Model Tech'!#REF!</definedName>
    <definedName name="Manual">'Model Tech'!$B$7</definedName>
    <definedName name="Massive_Maturity">'Model Tech'!#REF!</definedName>
    <definedName name="Medium_Maturity">'Model Tech'!#REF!</definedName>
    <definedName name="NewTreePit">'Model Tech'!$D$7</definedName>
    <definedName name="No">'Model Tech'!$D$9</definedName>
    <definedName name="SharedTreePit">'Model Tech'!#REF!</definedName>
    <definedName name="Small_Maturity">'Model Tech'!#REF!</definedName>
    <definedName name="SOFT_LANDSCAPE">'Model Tech'!$B$8</definedName>
    <definedName name="Stockholm_Tree_Pits">'Model Tech'!#REF!</definedName>
    <definedName name="StockType">'Model Tech'!$E$6:$E$7</definedName>
    <definedName name="TreePits">'Model Tech'!$D$6:$D$7</definedName>
    <definedName name="TreePitTypes">'Model Tech'!$D$6:$D$7</definedName>
    <definedName name="YearWithinRange">'Model Tech'!$C$6</definedName>
    <definedName name="Yes">'Model Tech'!$D$8</definedName>
    <definedName name="YesNo">'Model Tech'!$D$8:$D$9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25" l="1"/>
  <c r="B15" i="19"/>
  <c r="E13" i="29"/>
  <c r="C86" i="29"/>
  <c r="C71" i="29"/>
  <c r="C67" i="29"/>
  <c r="C68" i="29"/>
  <c r="C66" i="29"/>
  <c r="C17" i="29"/>
  <c r="C18" i="29"/>
  <c r="C19" i="29"/>
  <c r="C16" i="29"/>
  <c r="E65" i="1"/>
  <c r="K4" i="27"/>
  <c r="J375" i="4"/>
  <c r="H366" i="4"/>
  <c r="B330" i="4"/>
  <c r="B329" i="4"/>
  <c r="B328" i="4"/>
  <c r="B327" i="4"/>
  <c r="B326" i="4"/>
  <c r="C325" i="4"/>
  <c r="B325" i="4"/>
  <c r="B323" i="4"/>
  <c r="B322" i="4"/>
  <c r="B321" i="4"/>
  <c r="B320" i="4"/>
  <c r="B319" i="4"/>
  <c r="B318" i="4"/>
  <c r="B317" i="4"/>
  <c r="B316" i="4"/>
  <c r="B315" i="4"/>
  <c r="B314" i="4"/>
  <c r="C313" i="4"/>
  <c r="B313" i="4"/>
  <c r="B309" i="4"/>
  <c r="B308" i="4"/>
  <c r="B307" i="4"/>
  <c r="B306" i="4"/>
  <c r="B305" i="4"/>
  <c r="C304" i="4"/>
  <c r="B304" i="4"/>
  <c r="B302" i="4"/>
  <c r="B301" i="4"/>
  <c r="B300" i="4"/>
  <c r="B299" i="4"/>
  <c r="B298" i="4"/>
  <c r="B297" i="4"/>
  <c r="B296" i="4"/>
  <c r="B295" i="4"/>
  <c r="B294" i="4"/>
  <c r="B293" i="4"/>
  <c r="C292" i="4"/>
  <c r="B292" i="4"/>
  <c r="B288" i="4"/>
  <c r="B287" i="4"/>
  <c r="B286" i="4"/>
  <c r="B285" i="4"/>
  <c r="B284" i="4"/>
  <c r="C283" i="4"/>
  <c r="B283" i="4"/>
  <c r="B281" i="4"/>
  <c r="B280" i="4"/>
  <c r="B279" i="4"/>
  <c r="B278" i="4"/>
  <c r="B277" i="4"/>
  <c r="B276" i="4"/>
  <c r="B275" i="4"/>
  <c r="B274" i="4"/>
  <c r="B273" i="4"/>
  <c r="B272" i="4"/>
  <c r="C271" i="4"/>
  <c r="B271" i="4"/>
  <c r="B267" i="4"/>
  <c r="B266" i="4"/>
  <c r="B265" i="4"/>
  <c r="B264" i="4"/>
  <c r="B263" i="4"/>
  <c r="C262" i="4"/>
  <c r="B262" i="4"/>
  <c r="B260" i="4"/>
  <c r="B259" i="4"/>
  <c r="B258" i="4"/>
  <c r="B257" i="4"/>
  <c r="B256" i="4"/>
  <c r="B255" i="4"/>
  <c r="B254" i="4"/>
  <c r="B253" i="4"/>
  <c r="B252" i="4"/>
  <c r="B251" i="4"/>
  <c r="C250" i="4"/>
  <c r="B250" i="4"/>
  <c r="B246" i="4"/>
  <c r="B245" i="4"/>
  <c r="B244" i="4"/>
  <c r="B243" i="4"/>
  <c r="B242" i="4"/>
  <c r="C241" i="4"/>
  <c r="B241" i="4"/>
  <c r="B239" i="4"/>
  <c r="B238" i="4"/>
  <c r="B237" i="4"/>
  <c r="B236" i="4"/>
  <c r="B235" i="4"/>
  <c r="B234" i="4"/>
  <c r="B233" i="4"/>
  <c r="B232" i="4"/>
  <c r="B231" i="4"/>
  <c r="B230" i="4"/>
  <c r="C229" i="4"/>
  <c r="B229" i="4"/>
  <c r="B225" i="4"/>
  <c r="B224" i="4"/>
  <c r="B223" i="4"/>
  <c r="B222" i="4"/>
  <c r="B221" i="4"/>
  <c r="C220" i="4"/>
  <c r="B220" i="4"/>
  <c r="B218" i="4"/>
  <c r="B217" i="4"/>
  <c r="B216" i="4"/>
  <c r="B215" i="4"/>
  <c r="B214" i="4"/>
  <c r="B213" i="4"/>
  <c r="B212" i="4"/>
  <c r="B211" i="4"/>
  <c r="B210" i="4"/>
  <c r="B209" i="4"/>
  <c r="C208" i="4"/>
  <c r="B208" i="4"/>
  <c r="B204" i="4"/>
  <c r="B203" i="4"/>
  <c r="B202" i="4"/>
  <c r="B201" i="4"/>
  <c r="B200" i="4"/>
  <c r="C199" i="4"/>
  <c r="B199" i="4"/>
  <c r="B197" i="4"/>
  <c r="B196" i="4"/>
  <c r="B195" i="4"/>
  <c r="B194" i="4"/>
  <c r="B193" i="4"/>
  <c r="B192" i="4"/>
  <c r="B191" i="4"/>
  <c r="B190" i="4"/>
  <c r="B189" i="4"/>
  <c r="B188" i="4"/>
  <c r="C187" i="4"/>
  <c r="B187" i="4"/>
  <c r="B183" i="4"/>
  <c r="B182" i="4"/>
  <c r="B181" i="4"/>
  <c r="B180" i="4"/>
  <c r="B179" i="4"/>
  <c r="C178" i="4"/>
  <c r="B178" i="4"/>
  <c r="B176" i="4"/>
  <c r="B175" i="4"/>
  <c r="B174" i="4"/>
  <c r="B173" i="4"/>
  <c r="B172" i="4"/>
  <c r="B171" i="4"/>
  <c r="B170" i="4"/>
  <c r="B169" i="4"/>
  <c r="B168" i="4"/>
  <c r="B167" i="4"/>
  <c r="C166" i="4"/>
  <c r="B166" i="4"/>
  <c r="B155" i="4"/>
  <c r="B154" i="4"/>
  <c r="B153" i="4"/>
  <c r="B152" i="4"/>
  <c r="B151" i="4"/>
  <c r="B150" i="4"/>
  <c r="B149" i="4"/>
  <c r="B148" i="4"/>
  <c r="B147" i="4"/>
  <c r="B146" i="4"/>
  <c r="B126" i="4"/>
  <c r="B127" i="4"/>
  <c r="B128" i="4"/>
  <c r="B129" i="4"/>
  <c r="B130" i="4"/>
  <c r="B131" i="4"/>
  <c r="B132" i="4"/>
  <c r="B133" i="4"/>
  <c r="B134" i="4"/>
  <c r="B125" i="4"/>
  <c r="I14" i="1"/>
  <c r="C3" i="1"/>
  <c r="I28" i="1"/>
  <c r="I19" i="1"/>
  <c r="J100" i="29"/>
  <c r="E91" i="29"/>
  <c r="E92" i="29"/>
  <c r="E93" i="29"/>
  <c r="E90" i="29"/>
  <c r="B42" i="29"/>
  <c r="B39" i="29"/>
  <c r="B5" i="19" l="1"/>
  <c r="C26" i="25"/>
  <c r="H77" i="21" l="1"/>
  <c r="H82" i="21"/>
  <c r="H94" i="21"/>
  <c r="H95" i="21"/>
  <c r="H96" i="21"/>
  <c r="H97" i="21"/>
  <c r="H98" i="21"/>
  <c r="H93" i="21"/>
  <c r="C78" i="29"/>
  <c r="J71" i="29"/>
  <c r="J67" i="29"/>
  <c r="J68" i="29"/>
  <c r="J66" i="29"/>
  <c r="J55" i="29"/>
  <c r="J56" i="29"/>
  <c r="J57" i="29"/>
  <c r="J58" i="29"/>
  <c r="J59" i="29"/>
  <c r="J54" i="29"/>
  <c r="J51" i="29"/>
  <c r="AO102" i="29"/>
  <c r="AP102" i="29"/>
  <c r="AQ102" i="29"/>
  <c r="AR102" i="29"/>
  <c r="AS102" i="29"/>
  <c r="E99" i="29"/>
  <c r="D99" i="29"/>
  <c r="I64" i="21"/>
  <c r="I65" i="21"/>
  <c r="I66" i="21"/>
  <c r="I67" i="21"/>
  <c r="I68" i="21"/>
  <c r="I63" i="21"/>
  <c r="E48" i="21"/>
  <c r="G48" i="21"/>
  <c r="I69" i="21" l="1"/>
  <c r="H99" i="21"/>
  <c r="J73" i="29"/>
  <c r="J61" i="29"/>
  <c r="B14" i="19"/>
  <c r="C8" i="27" l="1"/>
  <c r="B9" i="19" l="1"/>
  <c r="B10" i="19"/>
  <c r="B11" i="19"/>
  <c r="B12" i="19"/>
  <c r="B13" i="19"/>
  <c r="B16" i="19"/>
  <c r="B8" i="19"/>
  <c r="A92" i="29" l="1"/>
  <c r="A90" i="29"/>
  <c r="A80" i="29"/>
  <c r="B86" i="29"/>
  <c r="G99" i="21"/>
  <c r="C5" i="29"/>
  <c r="B5" i="29"/>
  <c r="F47" i="21"/>
  <c r="F46" i="21"/>
  <c r="F45" i="21"/>
  <c r="F44" i="21"/>
  <c r="F43" i="21"/>
  <c r="F42" i="21"/>
  <c r="F33" i="21"/>
  <c r="F34" i="21"/>
  <c r="F35" i="21"/>
  <c r="F36" i="21"/>
  <c r="F37" i="21"/>
  <c r="F32" i="21"/>
  <c r="C3" i="29"/>
  <c r="C3" i="4"/>
  <c r="J3" i="29"/>
  <c r="C3" i="27"/>
  <c r="E56" i="29" l="1"/>
  <c r="C33" i="29"/>
  <c r="E59" i="29"/>
  <c r="C55" i="29"/>
  <c r="C36" i="29"/>
  <c r="C37" i="29"/>
  <c r="C83" i="29"/>
  <c r="C57" i="29"/>
  <c r="C84" i="29"/>
  <c r="C85" i="29"/>
  <c r="C54" i="29"/>
  <c r="E57" i="29"/>
  <c r="C7" i="29"/>
  <c r="C34" i="29"/>
  <c r="E54" i="29"/>
  <c r="C81" i="29"/>
  <c r="C58" i="29"/>
  <c r="E58" i="29"/>
  <c r="C35" i="29"/>
  <c r="C82" i="29"/>
  <c r="C56" i="29"/>
  <c r="C32" i="29"/>
  <c r="D32" i="29" s="1"/>
  <c r="C59" i="29"/>
  <c r="C80" i="29"/>
  <c r="E55" i="29"/>
  <c r="D374" i="4"/>
  <c r="D71" i="29"/>
  <c r="D86" i="29"/>
  <c r="F38" i="21"/>
  <c r="F48" i="21"/>
  <c r="D91" i="29"/>
  <c r="C91" i="29"/>
  <c r="C90" i="29"/>
  <c r="D90" i="29"/>
  <c r="D67" i="29"/>
  <c r="D68" i="29"/>
  <c r="D353" i="4"/>
  <c r="D66" i="29"/>
  <c r="E37" i="29" l="1"/>
  <c r="C29" i="29"/>
  <c r="C51" i="29"/>
  <c r="D92" i="29"/>
  <c r="D93" i="29"/>
  <c r="D29" i="29"/>
  <c r="D51" i="29"/>
  <c r="E36" i="29"/>
  <c r="F36" i="29" s="1"/>
  <c r="E34" i="29"/>
  <c r="F34" i="29" s="1"/>
  <c r="E33" i="29"/>
  <c r="F33" i="29" s="1"/>
  <c r="E35" i="29"/>
  <c r="F35" i="29" s="1"/>
  <c r="E32" i="29"/>
  <c r="F32" i="29" s="1"/>
  <c r="B9" i="28"/>
  <c r="B14" i="28"/>
  <c r="B15" i="28"/>
  <c r="B16" i="28"/>
  <c r="B17" i="28"/>
  <c r="B18" i="28"/>
  <c r="B19" i="28"/>
  <c r="B20" i="28"/>
  <c r="B21" i="28"/>
  <c r="B22" i="28"/>
  <c r="B23" i="28"/>
  <c r="B24" i="28"/>
  <c r="B25" i="28"/>
  <c r="B26" i="28"/>
  <c r="B27" i="28"/>
  <c r="B28" i="28"/>
  <c r="B29" i="28"/>
  <c r="B30" i="28"/>
  <c r="B31" i="28"/>
  <c r="B32" i="28"/>
  <c r="B33" i="28"/>
  <c r="B34" i="28"/>
  <c r="B35" i="28"/>
  <c r="B36" i="28"/>
  <c r="B37" i="28"/>
  <c r="B38" i="28"/>
  <c r="B39" i="28"/>
  <c r="B40" i="28"/>
  <c r="B41" i="28"/>
  <c r="B42" i="28"/>
  <c r="B43" i="28"/>
  <c r="B44" i="28"/>
  <c r="B45" i="28"/>
  <c r="B46" i="28"/>
  <c r="B47" i="28"/>
  <c r="B48" i="28"/>
  <c r="B49" i="28"/>
  <c r="B50" i="28"/>
  <c r="B51" i="28"/>
  <c r="B52" i="28"/>
  <c r="B53" i="28"/>
  <c r="B54" i="28"/>
  <c r="B55"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103" i="28"/>
  <c r="B104" i="28"/>
  <c r="B105" i="28"/>
  <c r="B106" i="28"/>
  <c r="B107" i="28"/>
  <c r="B108" i="28"/>
  <c r="B10" i="28"/>
  <c r="B11" i="28" s="1"/>
  <c r="B12" i="28" s="1"/>
  <c r="B13" i="28" s="1"/>
  <c r="D33" i="29"/>
  <c r="D34" i="29"/>
  <c r="D35" i="29"/>
  <c r="D36" i="29"/>
  <c r="D37" i="29"/>
  <c r="F37" i="29"/>
  <c r="D54" i="29"/>
  <c r="D55" i="29"/>
  <c r="D56" i="29"/>
  <c r="D57" i="29"/>
  <c r="D58" i="29"/>
  <c r="D59" i="29"/>
  <c r="F55" i="29"/>
  <c r="F56" i="29"/>
  <c r="F58" i="29"/>
  <c r="F57" i="29"/>
  <c r="F59" i="29"/>
  <c r="J32" i="29" l="1"/>
  <c r="J33" i="29"/>
  <c r="J37" i="29"/>
  <c r="J35" i="29"/>
  <c r="J34" i="29"/>
  <c r="J36" i="29"/>
  <c r="F54" i="29"/>
  <c r="C5" i="25"/>
  <c r="F92" i="29" l="1"/>
  <c r="J92" i="29" s="1"/>
  <c r="F93" i="29"/>
  <c r="J93" i="29" s="1"/>
  <c r="F90" i="29"/>
  <c r="J90" i="29" s="1"/>
  <c r="F91" i="29"/>
  <c r="J91" i="29" s="1"/>
  <c r="H24" i="25"/>
  <c r="D78" i="29" s="1"/>
  <c r="J86" i="29" l="1"/>
  <c r="J82" i="29"/>
  <c r="J81" i="29"/>
  <c r="J83" i="29"/>
  <c r="J84" i="29"/>
  <c r="J85" i="29"/>
  <c r="J80" i="29"/>
  <c r="K4" i="4"/>
  <c r="C39" i="29"/>
  <c r="E52" i="1"/>
  <c r="C49" i="4"/>
  <c r="B17" i="29"/>
  <c r="B18" i="29"/>
  <c r="B19" i="29"/>
  <c r="B16" i="29"/>
  <c r="E23" i="21"/>
  <c r="G23" i="21" s="1"/>
  <c r="I23" i="21" s="1"/>
  <c r="E24" i="21"/>
  <c r="G24" i="21" s="1"/>
  <c r="I24" i="21" s="1"/>
  <c r="E22" i="21"/>
  <c r="G22" i="21" s="1"/>
  <c r="E373" i="1"/>
  <c r="F147" i="1"/>
  <c r="D17" i="27"/>
  <c r="H22" i="25"/>
  <c r="E62" i="1" s="1"/>
  <c r="D58" i="4" s="1"/>
  <c r="E388" i="1"/>
  <c r="D363" i="4" s="1"/>
  <c r="D388" i="1"/>
  <c r="C363" i="4" s="1"/>
  <c r="E18" i="27"/>
  <c r="E16" i="27"/>
  <c r="D18" i="27"/>
  <c r="E147" i="1"/>
  <c r="D154" i="1" s="1"/>
  <c r="G22" i="25"/>
  <c r="D15" i="27" s="1"/>
  <c r="H21" i="25"/>
  <c r="E48" i="1" s="1"/>
  <c r="D46" i="4" s="1"/>
  <c r="G21" i="25"/>
  <c r="D14" i="27" s="1"/>
  <c r="H20" i="25"/>
  <c r="E13" i="27" s="1"/>
  <c r="G20" i="25"/>
  <c r="D11" i="1" s="1"/>
  <c r="C10" i="4" s="1"/>
  <c r="B8" i="27"/>
  <c r="B14" i="27"/>
  <c r="B15" i="27"/>
  <c r="B16" i="27"/>
  <c r="B17" i="27"/>
  <c r="B18" i="27"/>
  <c r="B13" i="27"/>
  <c r="B12" i="27"/>
  <c r="J95" i="29" l="1"/>
  <c r="D337" i="4"/>
  <c r="D124" i="4"/>
  <c r="D13" i="27"/>
  <c r="E14" i="27"/>
  <c r="E15" i="27"/>
  <c r="E17" i="27"/>
  <c r="E11" i="1"/>
  <c r="D10" i="4" s="1"/>
  <c r="D48" i="1"/>
  <c r="C46" i="4" s="1"/>
  <c r="D147" i="1"/>
  <c r="D373" i="1"/>
  <c r="C353" i="4" s="1"/>
  <c r="D16" i="27"/>
  <c r="D62" i="1"/>
  <c r="C58" i="4" s="1"/>
  <c r="K4" i="29"/>
  <c r="D80" i="29"/>
  <c r="D83" i="29"/>
  <c r="D81" i="29"/>
  <c r="D82" i="29"/>
  <c r="D84" i="29"/>
  <c r="D85" i="29"/>
  <c r="B78" i="29"/>
  <c r="H3" i="29"/>
  <c r="G3" i="29"/>
  <c r="K2" i="29"/>
  <c r="K100" i="29" s="1"/>
  <c r="H154" i="31"/>
  <c r="H153" i="31"/>
  <c r="H152" i="31"/>
  <c r="H151" i="31"/>
  <c r="H150" i="31"/>
  <c r="H149" i="31"/>
  <c r="H146" i="31"/>
  <c r="H145" i="31"/>
  <c r="J144" i="31"/>
  <c r="H144" i="31"/>
  <c r="J143" i="31"/>
  <c r="H143" i="31"/>
  <c r="H142" i="31"/>
  <c r="H141" i="31"/>
  <c r="E88" i="31"/>
  <c r="E73" i="31"/>
  <c r="H56" i="21"/>
  <c r="H55" i="21"/>
  <c r="H57" i="21"/>
  <c r="H58" i="21"/>
  <c r="H59" i="21"/>
  <c r="H54" i="21"/>
  <c r="H67" i="21"/>
  <c r="H64" i="21"/>
  <c r="H65" i="21"/>
  <c r="H66" i="21"/>
  <c r="H68" i="21"/>
  <c r="H63" i="21"/>
  <c r="K36" i="29" l="1"/>
  <c r="K37" i="29"/>
  <c r="K92" i="29"/>
  <c r="K35" i="29"/>
  <c r="K34" i="29"/>
  <c r="K93" i="29"/>
  <c r="K32" i="29"/>
  <c r="K33" i="29"/>
  <c r="K90" i="29"/>
  <c r="K91" i="29"/>
  <c r="K55" i="29"/>
  <c r="K56" i="29"/>
  <c r="K59" i="29"/>
  <c r="K58" i="29"/>
  <c r="K57" i="29"/>
  <c r="K54" i="29"/>
  <c r="K29" i="29"/>
  <c r="K17" i="29"/>
  <c r="K18" i="29"/>
  <c r="K19" i="29"/>
  <c r="K16" i="29"/>
  <c r="K68" i="29"/>
  <c r="K67" i="29"/>
  <c r="K99" i="29"/>
  <c r="H69" i="21"/>
  <c r="I22" i="21"/>
  <c r="H60" i="21"/>
  <c r="K3" i="29"/>
  <c r="K86" i="29" s="1"/>
  <c r="L4" i="29"/>
  <c r="L2" i="29"/>
  <c r="L100" i="29" s="1"/>
  <c r="L91" i="29" l="1"/>
  <c r="L56" i="29"/>
  <c r="L55" i="29"/>
  <c r="L37" i="29"/>
  <c r="L36" i="29"/>
  <c r="L92" i="29"/>
  <c r="L54" i="29"/>
  <c r="L35" i="29"/>
  <c r="L32" i="29"/>
  <c r="L90" i="29"/>
  <c r="L58" i="29"/>
  <c r="L34" i="29"/>
  <c r="L59" i="29"/>
  <c r="L33" i="29"/>
  <c r="L57" i="29"/>
  <c r="L93" i="29"/>
  <c r="K83" i="29"/>
  <c r="K84" i="29"/>
  <c r="K81" i="29"/>
  <c r="K82" i="29"/>
  <c r="K80" i="29"/>
  <c r="K85" i="29"/>
  <c r="K21" i="29"/>
  <c r="L51" i="29"/>
  <c r="L16" i="29"/>
  <c r="L29" i="29"/>
  <c r="L17" i="29"/>
  <c r="L18" i="29"/>
  <c r="L19" i="29"/>
  <c r="K41" i="29"/>
  <c r="K42" i="29" s="1"/>
  <c r="L68" i="29"/>
  <c r="L66" i="29"/>
  <c r="K102" i="29"/>
  <c r="L99" i="29"/>
  <c r="I25" i="21"/>
  <c r="I26" i="21" s="1"/>
  <c r="L3" i="29"/>
  <c r="L86" i="29" s="1"/>
  <c r="M4" i="29"/>
  <c r="M2" i="29"/>
  <c r="M100" i="29" s="1"/>
  <c r="M90" i="29" l="1"/>
  <c r="M91" i="29"/>
  <c r="M56" i="29"/>
  <c r="M92" i="29"/>
  <c r="M55" i="29"/>
  <c r="M37" i="29"/>
  <c r="M36" i="29"/>
  <c r="M59" i="29"/>
  <c r="M33" i="29"/>
  <c r="M34" i="29"/>
  <c r="M58" i="29"/>
  <c r="M32" i="29"/>
  <c r="M35" i="29"/>
  <c r="M54" i="29"/>
  <c r="M93" i="29"/>
  <c r="M57" i="29"/>
  <c r="K95" i="29"/>
  <c r="L85" i="29"/>
  <c r="L84" i="29"/>
  <c r="L83" i="29"/>
  <c r="L81" i="29"/>
  <c r="L80" i="29"/>
  <c r="L82" i="29"/>
  <c r="L61" i="29"/>
  <c r="L21" i="29"/>
  <c r="L41" i="29"/>
  <c r="L42" i="29" s="1"/>
  <c r="M51" i="29"/>
  <c r="M16" i="29"/>
  <c r="M29" i="29"/>
  <c r="M17" i="29"/>
  <c r="M18" i="29"/>
  <c r="M19" i="29"/>
  <c r="M67" i="29"/>
  <c r="M66" i="29"/>
  <c r="K43" i="29"/>
  <c r="L102" i="29"/>
  <c r="M99" i="29"/>
  <c r="M3" i="29"/>
  <c r="M86" i="29" s="1"/>
  <c r="N4" i="29"/>
  <c r="N2" i="29"/>
  <c r="N100" i="29" s="1"/>
  <c r="N57" i="29" l="1"/>
  <c r="N56" i="29"/>
  <c r="N90" i="29"/>
  <c r="N91" i="29"/>
  <c r="N55" i="29"/>
  <c r="N37" i="29"/>
  <c r="N34" i="29"/>
  <c r="N32" i="29"/>
  <c r="N58" i="29"/>
  <c r="N54" i="29"/>
  <c r="N99" i="29"/>
  <c r="N59" i="29"/>
  <c r="N35" i="29"/>
  <c r="N93" i="29"/>
  <c r="N33" i="29"/>
  <c r="N92" i="29"/>
  <c r="N36" i="29"/>
  <c r="L95" i="29"/>
  <c r="L43" i="29"/>
  <c r="M85" i="29"/>
  <c r="M83" i="29"/>
  <c r="M84" i="29"/>
  <c r="M81" i="29"/>
  <c r="M82" i="29"/>
  <c r="M80" i="29"/>
  <c r="M41" i="29"/>
  <c r="M42" i="29" s="1"/>
  <c r="M21" i="29"/>
  <c r="M61" i="29"/>
  <c r="N51" i="29"/>
  <c r="N19" i="29"/>
  <c r="N16" i="29"/>
  <c r="N18" i="29"/>
  <c r="N29" i="29"/>
  <c r="N17" i="29"/>
  <c r="N67" i="29"/>
  <c r="N66" i="29"/>
  <c r="N68" i="29"/>
  <c r="N71" i="29"/>
  <c r="M102" i="29"/>
  <c r="N3" i="29"/>
  <c r="N86" i="29" s="1"/>
  <c r="O4" i="29"/>
  <c r="O2" i="29"/>
  <c r="O57" i="29" l="1"/>
  <c r="O90" i="29"/>
  <c r="O91" i="29"/>
  <c r="O56" i="29"/>
  <c r="O92" i="29"/>
  <c r="O54" i="29"/>
  <c r="O35" i="29"/>
  <c r="O93" i="29"/>
  <c r="O36" i="29"/>
  <c r="O34" i="29"/>
  <c r="O32" i="29"/>
  <c r="O37" i="29"/>
  <c r="O58" i="29"/>
  <c r="O59" i="29"/>
  <c r="O33" i="29"/>
  <c r="O55" i="29"/>
  <c r="M95" i="29"/>
  <c r="N41" i="29"/>
  <c r="N42" i="29" s="1"/>
  <c r="N84" i="29"/>
  <c r="N85" i="29"/>
  <c r="N83" i="29"/>
  <c r="N82" i="29"/>
  <c r="N80" i="29"/>
  <c r="N81" i="29"/>
  <c r="N21" i="29"/>
  <c r="M43" i="29"/>
  <c r="N61" i="29"/>
  <c r="O19" i="29"/>
  <c r="O51" i="29"/>
  <c r="O16" i="29"/>
  <c r="O29" i="29"/>
  <c r="O17" i="29"/>
  <c r="O18" i="29"/>
  <c r="O67" i="29"/>
  <c r="O66" i="29"/>
  <c r="O71" i="29"/>
  <c r="O68" i="29"/>
  <c r="N73" i="29"/>
  <c r="N102" i="29"/>
  <c r="O99" i="29"/>
  <c r="O3" i="29"/>
  <c r="P4" i="29"/>
  <c r="P2" i="29"/>
  <c r="P100" i="29" s="1"/>
  <c r="P58" i="29" l="1"/>
  <c r="P57" i="29"/>
  <c r="P56" i="29"/>
  <c r="P36" i="29"/>
  <c r="P34" i="29"/>
  <c r="P32" i="29"/>
  <c r="P55" i="29"/>
  <c r="P54" i="29"/>
  <c r="P37" i="29"/>
  <c r="P35" i="29"/>
  <c r="P59" i="29"/>
  <c r="P33" i="29"/>
  <c r="P91" i="29"/>
  <c r="P90" i="29"/>
  <c r="N95" i="29"/>
  <c r="N43" i="29"/>
  <c r="O85" i="29"/>
  <c r="O84" i="29"/>
  <c r="O82" i="29"/>
  <c r="O80" i="29"/>
  <c r="O81" i="29"/>
  <c r="O83" i="29"/>
  <c r="O21" i="29"/>
  <c r="O41" i="29"/>
  <c r="O42" i="29" s="1"/>
  <c r="P18" i="29"/>
  <c r="P19" i="29"/>
  <c r="P51" i="29"/>
  <c r="P16" i="29"/>
  <c r="P29" i="29"/>
  <c r="P17" i="29"/>
  <c r="O61" i="29"/>
  <c r="P67" i="29"/>
  <c r="P68" i="29"/>
  <c r="P66" i="29"/>
  <c r="P71" i="29"/>
  <c r="O73" i="29"/>
  <c r="P99" i="29"/>
  <c r="P3" i="29"/>
  <c r="P86" i="29" s="1"/>
  <c r="Q4" i="29"/>
  <c r="Q2" i="29"/>
  <c r="Q100" i="29" s="1"/>
  <c r="Q93" i="29" l="1"/>
  <c r="Q32" i="29"/>
  <c r="Q58" i="29"/>
  <c r="Q90" i="29"/>
  <c r="Q57" i="29"/>
  <c r="Q91" i="29"/>
  <c r="Q55" i="29"/>
  <c r="Q37" i="29"/>
  <c r="Q36" i="29"/>
  <c r="Q34" i="29"/>
  <c r="Q56" i="29"/>
  <c r="Q92" i="29"/>
  <c r="Q54" i="29"/>
  <c r="Q35" i="29"/>
  <c r="Q59" i="29"/>
  <c r="Q33" i="29"/>
  <c r="N104" i="29"/>
  <c r="P80" i="29"/>
  <c r="P84" i="29"/>
  <c r="P85" i="29"/>
  <c r="P83" i="29"/>
  <c r="P81" i="29"/>
  <c r="P82" i="29"/>
  <c r="P61" i="29"/>
  <c r="P21" i="29"/>
  <c r="Q29" i="29"/>
  <c r="Q17" i="29"/>
  <c r="Q18" i="29"/>
  <c r="Q19" i="29"/>
  <c r="Q51" i="29"/>
  <c r="Q16" i="29"/>
  <c r="P41" i="29"/>
  <c r="P42" i="29" s="1"/>
  <c r="P73" i="29"/>
  <c r="Q71" i="29"/>
  <c r="Q66" i="29"/>
  <c r="Q67" i="29"/>
  <c r="Q68" i="29"/>
  <c r="P102" i="29"/>
  <c r="Q99" i="29"/>
  <c r="Q3" i="29"/>
  <c r="Q86" i="29" s="1"/>
  <c r="R4" i="29"/>
  <c r="R2" i="29"/>
  <c r="R100" i="29" s="1"/>
  <c r="R59" i="29" l="1"/>
  <c r="R33" i="29"/>
  <c r="R93" i="29"/>
  <c r="R32" i="29"/>
  <c r="R58" i="29"/>
  <c r="R90" i="29"/>
  <c r="R57" i="29"/>
  <c r="R91" i="29"/>
  <c r="R55" i="29"/>
  <c r="R36" i="29"/>
  <c r="R34" i="29"/>
  <c r="R56" i="29"/>
  <c r="R37" i="29"/>
  <c r="R54" i="29"/>
  <c r="R35" i="29"/>
  <c r="R92" i="29"/>
  <c r="Q41" i="29"/>
  <c r="Q42" i="29" s="1"/>
  <c r="Q85" i="29"/>
  <c r="Q80" i="29"/>
  <c r="Q83" i="29"/>
  <c r="Q82" i="29"/>
  <c r="Q81" i="29"/>
  <c r="Q84" i="29"/>
  <c r="R16" i="29"/>
  <c r="R29" i="29"/>
  <c r="R17" i="29"/>
  <c r="R18" i="29"/>
  <c r="R19" i="29"/>
  <c r="R51" i="29"/>
  <c r="Q21" i="29"/>
  <c r="P43" i="29"/>
  <c r="Q61" i="29"/>
  <c r="Q73" i="29"/>
  <c r="R71" i="29"/>
  <c r="R66" i="29"/>
  <c r="R67" i="29"/>
  <c r="R68" i="29"/>
  <c r="Q102" i="29"/>
  <c r="R99" i="29"/>
  <c r="R3" i="29"/>
  <c r="R86" i="29" s="1"/>
  <c r="O43" i="29"/>
  <c r="S4" i="29"/>
  <c r="S2" i="29"/>
  <c r="S100" i="29" s="1"/>
  <c r="S34" i="29" l="1"/>
  <c r="S32" i="29"/>
  <c r="S59" i="29"/>
  <c r="S33" i="29"/>
  <c r="S58" i="29"/>
  <c r="S56" i="29"/>
  <c r="S55" i="29"/>
  <c r="S36" i="29"/>
  <c r="S57" i="29"/>
  <c r="S37" i="29"/>
  <c r="S54" i="29"/>
  <c r="S35" i="29"/>
  <c r="S90" i="29"/>
  <c r="S91" i="29"/>
  <c r="Q95" i="29"/>
  <c r="Q43" i="29"/>
  <c r="R41" i="29"/>
  <c r="R42" i="29" s="1"/>
  <c r="R80" i="29"/>
  <c r="R82" i="29"/>
  <c r="R85" i="29"/>
  <c r="R81" i="29"/>
  <c r="R83" i="29"/>
  <c r="R84" i="29"/>
  <c r="R61" i="29"/>
  <c r="R21" i="29"/>
  <c r="S16" i="29"/>
  <c r="S29" i="29"/>
  <c r="S17" i="29"/>
  <c r="S18" i="29"/>
  <c r="S19" i="29"/>
  <c r="S51" i="29"/>
  <c r="S71" i="29"/>
  <c r="S66" i="29"/>
  <c r="S67" i="29"/>
  <c r="S68" i="29"/>
  <c r="R73" i="29"/>
  <c r="R102" i="29"/>
  <c r="S99" i="29"/>
  <c r="S3" i="29"/>
  <c r="S86" i="29" s="1"/>
  <c r="T4" i="29"/>
  <c r="T2" i="29"/>
  <c r="T100" i="29" s="1"/>
  <c r="T54" i="29" l="1"/>
  <c r="T35" i="29"/>
  <c r="T59" i="29"/>
  <c r="T33" i="29"/>
  <c r="T34" i="29"/>
  <c r="T58" i="29"/>
  <c r="T93" i="29"/>
  <c r="T32" i="29"/>
  <c r="T92" i="29"/>
  <c r="T36" i="29"/>
  <c r="T57" i="29"/>
  <c r="T90" i="29"/>
  <c r="T55" i="29"/>
  <c r="T56" i="29"/>
  <c r="T91" i="29"/>
  <c r="T37" i="29"/>
  <c r="R95" i="29"/>
  <c r="R43" i="29"/>
  <c r="S81" i="29"/>
  <c r="S80" i="29"/>
  <c r="S84" i="29"/>
  <c r="S82" i="29"/>
  <c r="S83" i="29"/>
  <c r="S85" i="29"/>
  <c r="S41" i="29"/>
  <c r="S42" i="29" s="1"/>
  <c r="T16" i="29"/>
  <c r="T29" i="29"/>
  <c r="T17" i="29"/>
  <c r="T18" i="29"/>
  <c r="T51" i="29"/>
  <c r="T19" i="29"/>
  <c r="S61" i="29"/>
  <c r="S21" i="29"/>
  <c r="S73" i="29"/>
  <c r="T71" i="29"/>
  <c r="T68" i="29"/>
  <c r="T67" i="29"/>
  <c r="T66" i="29"/>
  <c r="S102" i="29"/>
  <c r="T99" i="29"/>
  <c r="T3" i="29"/>
  <c r="T86" i="29" s="1"/>
  <c r="U4" i="29"/>
  <c r="U2" i="29"/>
  <c r="U100" i="29" s="1"/>
  <c r="U36" i="29" l="1"/>
  <c r="U34" i="29"/>
  <c r="U54" i="29"/>
  <c r="U35" i="29"/>
  <c r="U93" i="29"/>
  <c r="U59" i="29"/>
  <c r="U33" i="29"/>
  <c r="U32" i="29"/>
  <c r="U91" i="29"/>
  <c r="U57" i="29"/>
  <c r="U37" i="29"/>
  <c r="U92" i="29"/>
  <c r="U90" i="29"/>
  <c r="U55" i="29"/>
  <c r="U58" i="29"/>
  <c r="U56" i="29"/>
  <c r="T81" i="29"/>
  <c r="T84" i="29"/>
  <c r="T82" i="29"/>
  <c r="T83" i="29"/>
  <c r="T85" i="29"/>
  <c r="T80" i="29"/>
  <c r="S43" i="29"/>
  <c r="T21" i="29"/>
  <c r="U16" i="29"/>
  <c r="U17" i="29"/>
  <c r="U29" i="29"/>
  <c r="U51" i="29"/>
  <c r="U18" i="29"/>
  <c r="U19" i="29"/>
  <c r="T41" i="29"/>
  <c r="T42" i="29" s="1"/>
  <c r="T61" i="29"/>
  <c r="T73" i="29"/>
  <c r="U71" i="29"/>
  <c r="U68" i="29"/>
  <c r="U67" i="29"/>
  <c r="U66" i="29"/>
  <c r="T102" i="29"/>
  <c r="U99" i="29"/>
  <c r="U3" i="29"/>
  <c r="U86" i="29" s="1"/>
  <c r="V4" i="29"/>
  <c r="V2" i="29"/>
  <c r="V100" i="29" s="1"/>
  <c r="V55" i="29" l="1"/>
  <c r="V37" i="29"/>
  <c r="V35" i="29"/>
  <c r="V36" i="29"/>
  <c r="V54" i="29"/>
  <c r="V34" i="29"/>
  <c r="V59" i="29"/>
  <c r="V33" i="29"/>
  <c r="V57" i="29"/>
  <c r="V32" i="29"/>
  <c r="V58" i="29"/>
  <c r="V56" i="29"/>
  <c r="V91" i="29"/>
  <c r="V90" i="29"/>
  <c r="T95" i="29"/>
  <c r="T43" i="29"/>
  <c r="U81" i="29"/>
  <c r="U84" i="29"/>
  <c r="U85" i="29"/>
  <c r="U83" i="29"/>
  <c r="U80" i="29"/>
  <c r="U82" i="29"/>
  <c r="U41" i="29"/>
  <c r="U42" i="29" s="1"/>
  <c r="U61" i="29"/>
  <c r="U21" i="29"/>
  <c r="V29" i="29"/>
  <c r="V16" i="29"/>
  <c r="V17" i="29"/>
  <c r="V18" i="29"/>
  <c r="V51" i="29"/>
  <c r="V19" i="29"/>
  <c r="V71" i="29"/>
  <c r="V68" i="29"/>
  <c r="V67" i="29"/>
  <c r="V66" i="29"/>
  <c r="U73" i="29"/>
  <c r="U102" i="29"/>
  <c r="V99" i="29"/>
  <c r="V3" i="29"/>
  <c r="V86" i="29" s="1"/>
  <c r="W4" i="29"/>
  <c r="W2" i="29"/>
  <c r="W100" i="29" s="1"/>
  <c r="W92" i="29" l="1"/>
  <c r="W36" i="29"/>
  <c r="W55" i="29"/>
  <c r="W37" i="29"/>
  <c r="W34" i="29"/>
  <c r="W54" i="29"/>
  <c r="W35" i="29"/>
  <c r="W93" i="29"/>
  <c r="W90" i="29"/>
  <c r="W58" i="29"/>
  <c r="W59" i="29"/>
  <c r="W57" i="29"/>
  <c r="W32" i="29"/>
  <c r="W91" i="29"/>
  <c r="W33" i="29"/>
  <c r="W56" i="29"/>
  <c r="U95" i="29"/>
  <c r="U43" i="29"/>
  <c r="V81" i="29"/>
  <c r="V82" i="29"/>
  <c r="V85" i="29"/>
  <c r="V80" i="29"/>
  <c r="V84" i="29"/>
  <c r="V83" i="29"/>
  <c r="V21" i="29"/>
  <c r="V41" i="29"/>
  <c r="V42" i="29" s="1"/>
  <c r="W51" i="29"/>
  <c r="W16" i="29"/>
  <c r="W18" i="29"/>
  <c r="W17" i="29"/>
  <c r="W19" i="29"/>
  <c r="W29" i="29"/>
  <c r="V61" i="29"/>
  <c r="V102" i="29"/>
  <c r="W66" i="29"/>
  <c r="W71" i="29"/>
  <c r="W68" i="29"/>
  <c r="W67" i="29"/>
  <c r="V73" i="29"/>
  <c r="W99" i="29"/>
  <c r="W3" i="29"/>
  <c r="W86" i="29" s="1"/>
  <c r="X2" i="29"/>
  <c r="X100" i="29" s="1"/>
  <c r="X4" i="29"/>
  <c r="X56" i="29" l="1"/>
  <c r="X55" i="29"/>
  <c r="X37" i="29"/>
  <c r="X92" i="29"/>
  <c r="X35" i="29"/>
  <c r="X36" i="29"/>
  <c r="X54" i="29"/>
  <c r="X32" i="29"/>
  <c r="X91" i="29"/>
  <c r="X33" i="29"/>
  <c r="X34" i="29"/>
  <c r="X59" i="29"/>
  <c r="X93" i="29"/>
  <c r="X57" i="29"/>
  <c r="X90" i="29"/>
  <c r="X58" i="29"/>
  <c r="W82" i="29"/>
  <c r="W81" i="29"/>
  <c r="W83" i="29"/>
  <c r="W84" i="29"/>
  <c r="W85" i="29"/>
  <c r="W80" i="29"/>
  <c r="W41" i="29"/>
  <c r="W42" i="29" s="1"/>
  <c r="W21" i="29"/>
  <c r="V43" i="29"/>
  <c r="X51" i="29"/>
  <c r="X19" i="29"/>
  <c r="X18" i="29"/>
  <c r="X16" i="29"/>
  <c r="X29" i="29"/>
  <c r="X17" i="29"/>
  <c r="W61" i="29"/>
  <c r="X66" i="29"/>
  <c r="X71" i="29"/>
  <c r="X68" i="29"/>
  <c r="X67" i="29"/>
  <c r="W73" i="29"/>
  <c r="W102" i="29"/>
  <c r="X99" i="29"/>
  <c r="X3" i="29"/>
  <c r="X86" i="29" s="1"/>
  <c r="Y2" i="29"/>
  <c r="Y100" i="29" s="1"/>
  <c r="Y4" i="29"/>
  <c r="Y56" i="29" l="1"/>
  <c r="Y55" i="29"/>
  <c r="Y37" i="29"/>
  <c r="Y36" i="29"/>
  <c r="Y59" i="29"/>
  <c r="Y33" i="29"/>
  <c r="Y35" i="29"/>
  <c r="Y54" i="29"/>
  <c r="Y57" i="29"/>
  <c r="Y34" i="29"/>
  <c r="Y58" i="29"/>
  <c r="Y32" i="29"/>
  <c r="Y91" i="29"/>
  <c r="Y90" i="29"/>
  <c r="W95" i="29"/>
  <c r="W43" i="29"/>
  <c r="X82" i="29"/>
  <c r="X81" i="29"/>
  <c r="X83" i="29"/>
  <c r="X85" i="29"/>
  <c r="X80" i="29"/>
  <c r="X84" i="29"/>
  <c r="X61" i="29"/>
  <c r="X21" i="29"/>
  <c r="X41" i="29"/>
  <c r="X42" i="29" s="1"/>
  <c r="Y51" i="29"/>
  <c r="Y19" i="29"/>
  <c r="Y29" i="29"/>
  <c r="Y18" i="29"/>
  <c r="Y16" i="29"/>
  <c r="Y17" i="29"/>
  <c r="X102" i="29"/>
  <c r="Y68" i="29"/>
  <c r="Y66" i="29"/>
  <c r="Y71" i="29"/>
  <c r="Y67" i="29"/>
  <c r="X73" i="29"/>
  <c r="Y99" i="29"/>
  <c r="Y3" i="29"/>
  <c r="Z2" i="29"/>
  <c r="Z100" i="29" s="1"/>
  <c r="Z4" i="29"/>
  <c r="Z57" i="29" l="1"/>
  <c r="Z56" i="29"/>
  <c r="Z92" i="29"/>
  <c r="Z37" i="29"/>
  <c r="Z55" i="29"/>
  <c r="Z34" i="29"/>
  <c r="Z59" i="29"/>
  <c r="Z35" i="29"/>
  <c r="Z91" i="29"/>
  <c r="Z33" i="29"/>
  <c r="Z93" i="29"/>
  <c r="Z36" i="29"/>
  <c r="Z90" i="29"/>
  <c r="Z58" i="29"/>
  <c r="Z32" i="29"/>
  <c r="Z54" i="29"/>
  <c r="X95" i="29"/>
  <c r="Y83" i="29"/>
  <c r="Y84" i="29"/>
  <c r="Y81" i="29"/>
  <c r="Y82" i="29"/>
  <c r="Y80" i="29"/>
  <c r="Y85" i="29"/>
  <c r="X43" i="29"/>
  <c r="Y61" i="29"/>
  <c r="Y21" i="29"/>
  <c r="Y41" i="29"/>
  <c r="Y42" i="29" s="1"/>
  <c r="Z51" i="29"/>
  <c r="Z18" i="29"/>
  <c r="Z19" i="29"/>
  <c r="Z16" i="29"/>
  <c r="Z29" i="29"/>
  <c r="Z17" i="29"/>
  <c r="Z68" i="29"/>
  <c r="Z66" i="29"/>
  <c r="Z71" i="29"/>
  <c r="Z67" i="29"/>
  <c r="Y73" i="29"/>
  <c r="Y102" i="29"/>
  <c r="Z99" i="29"/>
  <c r="Z3" i="29"/>
  <c r="Z86" i="29" s="1"/>
  <c r="AA2" i="29"/>
  <c r="AA100" i="29" s="1"/>
  <c r="AA4" i="29"/>
  <c r="AA57" i="29" l="1"/>
  <c r="AA92" i="29"/>
  <c r="AA56" i="29"/>
  <c r="AA93" i="29"/>
  <c r="AA54" i="29"/>
  <c r="AA35" i="29"/>
  <c r="AA59" i="29"/>
  <c r="AA33" i="29"/>
  <c r="AA91" i="29"/>
  <c r="AA55" i="29"/>
  <c r="AA90" i="29"/>
  <c r="AA36" i="29"/>
  <c r="AA37" i="29"/>
  <c r="AA34" i="29"/>
  <c r="AA58" i="29"/>
  <c r="AA32" i="29"/>
  <c r="Z83" i="29"/>
  <c r="Z85" i="29"/>
  <c r="Z82" i="29"/>
  <c r="Z80" i="29"/>
  <c r="Z81" i="29"/>
  <c r="Z84" i="29"/>
  <c r="Z41" i="29"/>
  <c r="Z42" i="29" s="1"/>
  <c r="AA19" i="29"/>
  <c r="AA51" i="29"/>
  <c r="AA29" i="29"/>
  <c r="AA17" i="29"/>
  <c r="AA18" i="29"/>
  <c r="AA16" i="29"/>
  <c r="Y43" i="29"/>
  <c r="Z61" i="29"/>
  <c r="Z21" i="29"/>
  <c r="Z73" i="29"/>
  <c r="Z102" i="29"/>
  <c r="AA68" i="29"/>
  <c r="AA71" i="29"/>
  <c r="AA66" i="29"/>
  <c r="AA67" i="29"/>
  <c r="AA99" i="29"/>
  <c r="AA3" i="29"/>
  <c r="AA86" i="29" s="1"/>
  <c r="AB2" i="29"/>
  <c r="AB100" i="29" s="1"/>
  <c r="AB4" i="29"/>
  <c r="AB58" i="29" l="1"/>
  <c r="AB57" i="29"/>
  <c r="AB56" i="29"/>
  <c r="AB36" i="29"/>
  <c r="AB54" i="29"/>
  <c r="AB37" i="29"/>
  <c r="AB32" i="29"/>
  <c r="AB35" i="29"/>
  <c r="AB33" i="29"/>
  <c r="AB59" i="29"/>
  <c r="AB55" i="29"/>
  <c r="AB34" i="29"/>
  <c r="AB91" i="29"/>
  <c r="AB90" i="29"/>
  <c r="Z95" i="29"/>
  <c r="AA84" i="29"/>
  <c r="AA82" i="29"/>
  <c r="AA80" i="29"/>
  <c r="AA85" i="29"/>
  <c r="AA81" i="29"/>
  <c r="AA83" i="29"/>
  <c r="Z43" i="29"/>
  <c r="AA41" i="29"/>
  <c r="AA42" i="29" s="1"/>
  <c r="AA21" i="29"/>
  <c r="AB18" i="29"/>
  <c r="AB19" i="29"/>
  <c r="AB16" i="29"/>
  <c r="AB29" i="29"/>
  <c r="AB17" i="29"/>
  <c r="AB51" i="29"/>
  <c r="AA61" i="29"/>
  <c r="AA73" i="29"/>
  <c r="AB67" i="29"/>
  <c r="AB68" i="29"/>
  <c r="AB71" i="29"/>
  <c r="AB66" i="29"/>
  <c r="AA102" i="29"/>
  <c r="AB99" i="29"/>
  <c r="AB3" i="29"/>
  <c r="AB86" i="29" s="1"/>
  <c r="AC2" i="29"/>
  <c r="AC100" i="29" s="1"/>
  <c r="AC4" i="29"/>
  <c r="AC91" i="29" l="1"/>
  <c r="AC32" i="29"/>
  <c r="AC58" i="29"/>
  <c r="AC57" i="29"/>
  <c r="AC92" i="29"/>
  <c r="AC55" i="29"/>
  <c r="AC37" i="29"/>
  <c r="AC33" i="29"/>
  <c r="AC54" i="29"/>
  <c r="AC35" i="29"/>
  <c r="AC93" i="29"/>
  <c r="AC59" i="29"/>
  <c r="AC90" i="29"/>
  <c r="AC36" i="29"/>
  <c r="AC34" i="29"/>
  <c r="AC56" i="29"/>
  <c r="AA95" i="29"/>
  <c r="AA43" i="29"/>
  <c r="AB85" i="29"/>
  <c r="AB84" i="29"/>
  <c r="AB80" i="29"/>
  <c r="AB83" i="29"/>
  <c r="AB81" i="29"/>
  <c r="AB82" i="29"/>
  <c r="AB41" i="29"/>
  <c r="AB42" i="29" s="1"/>
  <c r="AB21" i="29"/>
  <c r="AC29" i="29"/>
  <c r="AC17" i="29"/>
  <c r="AC18" i="29"/>
  <c r="AC19" i="29"/>
  <c r="AC16" i="29"/>
  <c r="AC51" i="29"/>
  <c r="AB61" i="29"/>
  <c r="AB102" i="29"/>
  <c r="AC71" i="29"/>
  <c r="AC66" i="29"/>
  <c r="AC67" i="29"/>
  <c r="AC68" i="29"/>
  <c r="AB73" i="29"/>
  <c r="AC99" i="29"/>
  <c r="AC3" i="29"/>
  <c r="AC86" i="29" s="1"/>
  <c r="AD2" i="29"/>
  <c r="AD100" i="29" s="1"/>
  <c r="AD4" i="29"/>
  <c r="AD90" i="29" l="1"/>
  <c r="AD59" i="29"/>
  <c r="AD33" i="29"/>
  <c r="AD58" i="29"/>
  <c r="AD91" i="29"/>
  <c r="AD32" i="29"/>
  <c r="AD57" i="29"/>
  <c r="AD92" i="29"/>
  <c r="AD34" i="29"/>
  <c r="AD37" i="29"/>
  <c r="AD54" i="29"/>
  <c r="AD35" i="29"/>
  <c r="AD93" i="29"/>
  <c r="AD55" i="29"/>
  <c r="AD56" i="29"/>
  <c r="AD36" i="29"/>
  <c r="AC85" i="29"/>
  <c r="AC80" i="29"/>
  <c r="AC83" i="29"/>
  <c r="AC82" i="29"/>
  <c r="AC81" i="29"/>
  <c r="AC84" i="29"/>
  <c r="AB43" i="29"/>
  <c r="AD16" i="29"/>
  <c r="AD29" i="29"/>
  <c r="AD17" i="29"/>
  <c r="AD18" i="29"/>
  <c r="AD19" i="29"/>
  <c r="AD51" i="29"/>
  <c r="AC21" i="29"/>
  <c r="AC61" i="29"/>
  <c r="AC41" i="29"/>
  <c r="AC42" i="29" s="1"/>
  <c r="AC73" i="29"/>
  <c r="AD71" i="29"/>
  <c r="AD66" i="29"/>
  <c r="AD67" i="29"/>
  <c r="AD68" i="29"/>
  <c r="AC102" i="29"/>
  <c r="AD99" i="29"/>
  <c r="AD3" i="29"/>
  <c r="AD86" i="29" s="1"/>
  <c r="AE2" i="29"/>
  <c r="AE100" i="29" s="1"/>
  <c r="AE4" i="29"/>
  <c r="AE34" i="29" l="1"/>
  <c r="AE32" i="29"/>
  <c r="AE59" i="29"/>
  <c r="AE33" i="29"/>
  <c r="AE58" i="29"/>
  <c r="AE56" i="29"/>
  <c r="AE37" i="29"/>
  <c r="AE35" i="29"/>
  <c r="AE54" i="29"/>
  <c r="AE57" i="29"/>
  <c r="AE55" i="29"/>
  <c r="AE36" i="29"/>
  <c r="AE91" i="29"/>
  <c r="AE90" i="29"/>
  <c r="AC95" i="29"/>
  <c r="AD82" i="29"/>
  <c r="AD85" i="29"/>
  <c r="AD83" i="29"/>
  <c r="AD81" i="29"/>
  <c r="AD84" i="29"/>
  <c r="AD80" i="29"/>
  <c r="AD61" i="29"/>
  <c r="AC43" i="29"/>
  <c r="AD41" i="29"/>
  <c r="AD42" i="29" s="1"/>
  <c r="AD21" i="29"/>
  <c r="AE16" i="29"/>
  <c r="AE29" i="29"/>
  <c r="AE17" i="29"/>
  <c r="AE18" i="29"/>
  <c r="AE51" i="29"/>
  <c r="AE19" i="29"/>
  <c r="AE71" i="29"/>
  <c r="AE66" i="29"/>
  <c r="AE67" i="29"/>
  <c r="AE68" i="29"/>
  <c r="AD73" i="29"/>
  <c r="AD102" i="29"/>
  <c r="AE99" i="29"/>
  <c r="AE3" i="29"/>
  <c r="AE86" i="29" s="1"/>
  <c r="AF2" i="29"/>
  <c r="AF100" i="29" s="1"/>
  <c r="AF4" i="29"/>
  <c r="AF54" i="29" l="1"/>
  <c r="AF35" i="29"/>
  <c r="AF33" i="29"/>
  <c r="AF90" i="29"/>
  <c r="AF34" i="29"/>
  <c r="AF59" i="29"/>
  <c r="AF91" i="29"/>
  <c r="AF32" i="29"/>
  <c r="AF58" i="29"/>
  <c r="AF56" i="29"/>
  <c r="AF37" i="29"/>
  <c r="AF92" i="29"/>
  <c r="AF36" i="29"/>
  <c r="AF93" i="29"/>
  <c r="AF57" i="29"/>
  <c r="AF55" i="29"/>
  <c r="AD95" i="29"/>
  <c r="AE83" i="29"/>
  <c r="AE82" i="29"/>
  <c r="AE81" i="29"/>
  <c r="AE80" i="29"/>
  <c r="AE84" i="29"/>
  <c r="AE85" i="29"/>
  <c r="AE41" i="29"/>
  <c r="AE42" i="29" s="1"/>
  <c r="AF16" i="29"/>
  <c r="AF29" i="29"/>
  <c r="AF17" i="29"/>
  <c r="AF51" i="29"/>
  <c r="AF18" i="29"/>
  <c r="AF19" i="29"/>
  <c r="AD43" i="29"/>
  <c r="AE21" i="29"/>
  <c r="AE61" i="29"/>
  <c r="AE102" i="29"/>
  <c r="AF67" i="29"/>
  <c r="AF71" i="29"/>
  <c r="AF68" i="29"/>
  <c r="AF66" i="29"/>
  <c r="AE73" i="29"/>
  <c r="AF99" i="29"/>
  <c r="AF3" i="29"/>
  <c r="AF86" i="29" s="1"/>
  <c r="AG2" i="29"/>
  <c r="AG100" i="29" s="1"/>
  <c r="AG4" i="29"/>
  <c r="AG36" i="29" l="1"/>
  <c r="AG34" i="29"/>
  <c r="AG54" i="29"/>
  <c r="AG35" i="29"/>
  <c r="AG90" i="29"/>
  <c r="AG91" i="29"/>
  <c r="AG59" i="29"/>
  <c r="AG33" i="29"/>
  <c r="AG32" i="29"/>
  <c r="AG92" i="29"/>
  <c r="AG57" i="29"/>
  <c r="AG56" i="29"/>
  <c r="AG37" i="29"/>
  <c r="AG93" i="29"/>
  <c r="AG55" i="29"/>
  <c r="AG58" i="29"/>
  <c r="AF83" i="29"/>
  <c r="AF82" i="29"/>
  <c r="AF80" i="29"/>
  <c r="AF81" i="29"/>
  <c r="AF84" i="29"/>
  <c r="AF85" i="29"/>
  <c r="AE43" i="29"/>
  <c r="AG16" i="29"/>
  <c r="AG51" i="29"/>
  <c r="AG29" i="29"/>
  <c r="AG17" i="29"/>
  <c r="AG18" i="29"/>
  <c r="AG19" i="29"/>
  <c r="AF61" i="29"/>
  <c r="AF41" i="29"/>
  <c r="AF42" i="29" s="1"/>
  <c r="AF21" i="29"/>
  <c r="AF102" i="29"/>
  <c r="AG67" i="29"/>
  <c r="AG66" i="29"/>
  <c r="AG68" i="29"/>
  <c r="AG71" i="29"/>
  <c r="AF73" i="29"/>
  <c r="AG99" i="29"/>
  <c r="AG3" i="29"/>
  <c r="AG86" i="29" s="1"/>
  <c r="AH2" i="29"/>
  <c r="AH100" i="29" s="1"/>
  <c r="AH4" i="29"/>
  <c r="AH55" i="29" l="1"/>
  <c r="AH37" i="29"/>
  <c r="AH54" i="29"/>
  <c r="AH35" i="29"/>
  <c r="AH36" i="29"/>
  <c r="AH34" i="29"/>
  <c r="AH59" i="29"/>
  <c r="AH33" i="29"/>
  <c r="AH57" i="29"/>
  <c r="AH56" i="29"/>
  <c r="AH58" i="29"/>
  <c r="AH32" i="29"/>
  <c r="AH90" i="29"/>
  <c r="AH91" i="29"/>
  <c r="AF95" i="29"/>
  <c r="AG84" i="29"/>
  <c r="AG83" i="29"/>
  <c r="AG80" i="29"/>
  <c r="AG81" i="29"/>
  <c r="AG82" i="29"/>
  <c r="AG85" i="29"/>
  <c r="AH18" i="29"/>
  <c r="AH19" i="29"/>
  <c r="AH16" i="29"/>
  <c r="AH51" i="29"/>
  <c r="AH29" i="29"/>
  <c r="AH17" i="29"/>
  <c r="AG41" i="29"/>
  <c r="AG42" i="29" s="1"/>
  <c r="AF43" i="29"/>
  <c r="AG61" i="29"/>
  <c r="AG21" i="29"/>
  <c r="AG102" i="29"/>
  <c r="AG73" i="29"/>
  <c r="AH67" i="29"/>
  <c r="AH66" i="29"/>
  <c r="AH68" i="29"/>
  <c r="AH71" i="29"/>
  <c r="AH99" i="29"/>
  <c r="AH3" i="29"/>
  <c r="AH86" i="29" s="1"/>
  <c r="AI2" i="29"/>
  <c r="AI100" i="29" s="1"/>
  <c r="AI4" i="29"/>
  <c r="AI93" i="29" l="1"/>
  <c r="AI55" i="29"/>
  <c r="AI37" i="29"/>
  <c r="AI36" i="29"/>
  <c r="AI90" i="29"/>
  <c r="AI54" i="29"/>
  <c r="AI35" i="29"/>
  <c r="AI91" i="29"/>
  <c r="AI34" i="29"/>
  <c r="AI58" i="29"/>
  <c r="AI32" i="29"/>
  <c r="AI33" i="29"/>
  <c r="AI92" i="29"/>
  <c r="AI56" i="29"/>
  <c r="AI59" i="29"/>
  <c r="AI57" i="29"/>
  <c r="AG95" i="29"/>
  <c r="AG43" i="29"/>
  <c r="AH80" i="29"/>
  <c r="AH85" i="29"/>
  <c r="AH84" i="29"/>
  <c r="AH83" i="29"/>
  <c r="AH81" i="29"/>
  <c r="AH82" i="29"/>
  <c r="AH21" i="29"/>
  <c r="AH41" i="29"/>
  <c r="AH42" i="29" s="1"/>
  <c r="AH61" i="29"/>
  <c r="AI51" i="29"/>
  <c r="AI16" i="29"/>
  <c r="AI29" i="29"/>
  <c r="AI17" i="29"/>
  <c r="AI18" i="29"/>
  <c r="AI19" i="29"/>
  <c r="AH102" i="29"/>
  <c r="AI71" i="29"/>
  <c r="AI67" i="29"/>
  <c r="AI66" i="29"/>
  <c r="AI68" i="29"/>
  <c r="AH73" i="29"/>
  <c r="AI99" i="29"/>
  <c r="AI3" i="29"/>
  <c r="AJ2" i="29"/>
  <c r="AJ100" i="29" s="1"/>
  <c r="AJ4" i="29"/>
  <c r="AJ56" i="29" l="1"/>
  <c r="AJ37" i="29"/>
  <c r="AJ93" i="29"/>
  <c r="AJ55" i="29"/>
  <c r="AJ36" i="29"/>
  <c r="AJ90" i="29"/>
  <c r="AJ54" i="29"/>
  <c r="AJ35" i="29"/>
  <c r="AJ91" i="29"/>
  <c r="AJ32" i="29"/>
  <c r="AJ58" i="29"/>
  <c r="AJ34" i="29"/>
  <c r="AJ33" i="29"/>
  <c r="AJ92" i="29"/>
  <c r="AJ59" i="29"/>
  <c r="AJ57" i="29"/>
  <c r="AI85" i="29"/>
  <c r="AI84" i="29"/>
  <c r="AI82" i="29"/>
  <c r="AI80" i="29"/>
  <c r="AI81" i="29"/>
  <c r="AI83" i="29"/>
  <c r="AJ51" i="29"/>
  <c r="AJ29" i="29"/>
  <c r="AJ19" i="29"/>
  <c r="AJ16" i="29"/>
  <c r="AJ17" i="29"/>
  <c r="AJ18" i="29"/>
  <c r="AI21" i="29"/>
  <c r="AH43" i="29"/>
  <c r="AI61" i="29"/>
  <c r="AI41" i="29"/>
  <c r="AI42" i="29" s="1"/>
  <c r="AI102" i="29"/>
  <c r="AI73" i="29"/>
  <c r="AJ71" i="29"/>
  <c r="AJ67" i="29"/>
  <c r="AJ66" i="29"/>
  <c r="AJ68" i="29"/>
  <c r="AJ99" i="29"/>
  <c r="AJ3" i="29"/>
  <c r="AJ86" i="29" s="1"/>
  <c r="AK2" i="29"/>
  <c r="AK100" i="29" s="1"/>
  <c r="AK4" i="29"/>
  <c r="AK56" i="29" l="1"/>
  <c r="AK55" i="29"/>
  <c r="AK37" i="29"/>
  <c r="AK36" i="29"/>
  <c r="AK59" i="29"/>
  <c r="AK33" i="29"/>
  <c r="AK34" i="29"/>
  <c r="AK58" i="29"/>
  <c r="AK32" i="29"/>
  <c r="AK54" i="29"/>
  <c r="AK35" i="29"/>
  <c r="AK57" i="29"/>
  <c r="AK90" i="29"/>
  <c r="AK91" i="29"/>
  <c r="AJ85" i="29"/>
  <c r="AJ84" i="29"/>
  <c r="AJ82" i="29"/>
  <c r="AJ80" i="29"/>
  <c r="AJ81" i="29"/>
  <c r="AJ83" i="29"/>
  <c r="AJ21" i="29"/>
  <c r="AI43" i="29"/>
  <c r="AJ61" i="29"/>
  <c r="AJ41" i="29"/>
  <c r="AJ42" i="29" s="1"/>
  <c r="AK51" i="29"/>
  <c r="AK16" i="29"/>
  <c r="AK29" i="29"/>
  <c r="AK17" i="29"/>
  <c r="AK18" i="29"/>
  <c r="AK19" i="29"/>
  <c r="AJ73" i="29"/>
  <c r="AK71" i="29"/>
  <c r="AK66" i="29"/>
  <c r="AK67" i="29"/>
  <c r="AK68" i="29"/>
  <c r="AJ102" i="29"/>
  <c r="AK99" i="29"/>
  <c r="AK3" i="29"/>
  <c r="AK86" i="29" s="1"/>
  <c r="AL2" i="29"/>
  <c r="AL100" i="29" s="1"/>
  <c r="AL4" i="29"/>
  <c r="G3" i="4"/>
  <c r="G3" i="27"/>
  <c r="J3" i="27"/>
  <c r="L4" i="4"/>
  <c r="M4" i="4" s="1"/>
  <c r="N4" i="4" s="1"/>
  <c r="O4" i="4" s="1"/>
  <c r="P4" i="4" s="1"/>
  <c r="Q4" i="4" s="1"/>
  <c r="R4" i="4" s="1"/>
  <c r="S4" i="4" s="1"/>
  <c r="T4" i="4" s="1"/>
  <c r="U4" i="4" s="1"/>
  <c r="V4" i="4" s="1"/>
  <c r="W4" i="4" s="1"/>
  <c r="X4" i="4" s="1"/>
  <c r="Y4" i="4" s="1"/>
  <c r="Z4" i="4" s="1"/>
  <c r="AA4" i="4" s="1"/>
  <c r="AB4" i="4" s="1"/>
  <c r="AC4" i="4" s="1"/>
  <c r="AD4" i="4" s="1"/>
  <c r="AE4" i="4" s="1"/>
  <c r="AF4" i="4" s="1"/>
  <c r="AG4" i="4" s="1"/>
  <c r="AH4" i="4" s="1"/>
  <c r="AI4" i="4" s="1"/>
  <c r="AJ4" i="4" s="1"/>
  <c r="AK4" i="4" s="1"/>
  <c r="AL4" i="4" s="1"/>
  <c r="AM4" i="4" s="1"/>
  <c r="AN4" i="4" s="1"/>
  <c r="AO4" i="4" s="1"/>
  <c r="AP4" i="4" s="1"/>
  <c r="AQ4" i="4" s="1"/>
  <c r="AR4" i="4" s="1"/>
  <c r="AS4" i="4" s="1"/>
  <c r="H3" i="4"/>
  <c r="J3" i="4"/>
  <c r="J356" i="4" s="1"/>
  <c r="J358" i="4" s="1"/>
  <c r="AL57" i="29" l="1"/>
  <c r="AL56" i="29"/>
  <c r="AL93" i="29"/>
  <c r="AL55" i="29"/>
  <c r="AL37" i="29"/>
  <c r="AL34" i="29"/>
  <c r="AL32" i="29"/>
  <c r="AL54" i="29"/>
  <c r="AL58" i="29"/>
  <c r="AL36" i="29"/>
  <c r="AL91" i="29"/>
  <c r="AL92" i="29"/>
  <c r="AL59" i="29"/>
  <c r="AL35" i="29"/>
  <c r="AL90" i="29"/>
  <c r="AL33" i="29"/>
  <c r="J112" i="4"/>
  <c r="J85" i="4"/>
  <c r="J73" i="4"/>
  <c r="J109" i="4"/>
  <c r="J102" i="4"/>
  <c r="J94" i="4"/>
  <c r="J107" i="4"/>
  <c r="J103" i="4"/>
  <c r="J95" i="4"/>
  <c r="J84" i="4"/>
  <c r="J76" i="4"/>
  <c r="J62" i="4"/>
  <c r="J108" i="4"/>
  <c r="J86" i="4"/>
  <c r="J77" i="4"/>
  <c r="J113" i="4"/>
  <c r="J89" i="4"/>
  <c r="J72" i="4"/>
  <c r="J114" i="4"/>
  <c r="J90" i="4"/>
  <c r="J110" i="4"/>
  <c r="J93" i="4"/>
  <c r="J64" i="4"/>
  <c r="J111" i="4"/>
  <c r="J83" i="4"/>
  <c r="J65" i="4"/>
  <c r="J115" i="4"/>
  <c r="J74" i="4"/>
  <c r="J66" i="4"/>
  <c r="J106" i="4"/>
  <c r="J75" i="4"/>
  <c r="J67" i="4"/>
  <c r="J68" i="4"/>
  <c r="J100" i="4"/>
  <c r="J79" i="4"/>
  <c r="J69" i="4"/>
  <c r="J99" i="4"/>
  <c r="J78" i="4"/>
  <c r="J101" i="4"/>
  <c r="J98" i="4"/>
  <c r="J87" i="4"/>
  <c r="J88" i="4"/>
  <c r="J91" i="4"/>
  <c r="J92" i="4"/>
  <c r="J63" i="4"/>
  <c r="J17" i="27"/>
  <c r="J15" i="27"/>
  <c r="AJ95" i="29"/>
  <c r="AK21" i="29"/>
  <c r="AJ43" i="29"/>
  <c r="AK85" i="29"/>
  <c r="AK84" i="29"/>
  <c r="AK81" i="29"/>
  <c r="AK80" i="29"/>
  <c r="AK83" i="29"/>
  <c r="AK82" i="29"/>
  <c r="AK41" i="29"/>
  <c r="AK42" i="29" s="1"/>
  <c r="AK61" i="29"/>
  <c r="AL51" i="29"/>
  <c r="AL16" i="29"/>
  <c r="AL29" i="29"/>
  <c r="AL17" i="29"/>
  <c r="AL18" i="29"/>
  <c r="AL19" i="29"/>
  <c r="AK102" i="29"/>
  <c r="AK73" i="29"/>
  <c r="AL66" i="29"/>
  <c r="AL71" i="29"/>
  <c r="AL67" i="29"/>
  <c r="AL68" i="29"/>
  <c r="AL99" i="29"/>
  <c r="AL3" i="29"/>
  <c r="AL86" i="29" s="1"/>
  <c r="AM2" i="29"/>
  <c r="AM100" i="29" s="1"/>
  <c r="AM4" i="29"/>
  <c r="AM57" i="29" l="1"/>
  <c r="AM93" i="29"/>
  <c r="AM56" i="29"/>
  <c r="AM91" i="29"/>
  <c r="AM54" i="29"/>
  <c r="AM35" i="29"/>
  <c r="AM36" i="29"/>
  <c r="AM55" i="29"/>
  <c r="AM34" i="29"/>
  <c r="AM32" i="29"/>
  <c r="AM92" i="29"/>
  <c r="AM58" i="29"/>
  <c r="AM37" i="29"/>
  <c r="AM59" i="29"/>
  <c r="AM90" i="29"/>
  <c r="AM33" i="29"/>
  <c r="J117" i="4"/>
  <c r="AK43" i="29"/>
  <c r="AL81" i="29"/>
  <c r="AL85" i="29"/>
  <c r="AL84" i="29"/>
  <c r="AL82" i="29"/>
  <c r="AL83" i="29"/>
  <c r="AL80" i="29"/>
  <c r="AL21" i="29"/>
  <c r="AL61" i="29"/>
  <c r="AL41" i="29"/>
  <c r="AL42" i="29" s="1"/>
  <c r="AM19" i="29"/>
  <c r="AM51" i="29"/>
  <c r="AM16" i="29"/>
  <c r="AM29" i="29"/>
  <c r="AM17" i="29"/>
  <c r="AM18" i="29"/>
  <c r="AL102" i="29"/>
  <c r="AM66" i="29"/>
  <c r="AM68" i="29"/>
  <c r="AM67" i="29"/>
  <c r="AM71" i="29"/>
  <c r="AL73" i="29"/>
  <c r="AM99" i="29"/>
  <c r="AM3" i="29"/>
  <c r="AM86" i="29" s="1"/>
  <c r="AN2" i="29"/>
  <c r="AN100" i="29" s="1"/>
  <c r="B109" i="28"/>
  <c r="B111" i="28" s="1"/>
  <c r="C15" i="25" s="1"/>
  <c r="AN4" i="29"/>
  <c r="D21" i="25" l="1"/>
  <c r="C9" i="27" s="1"/>
  <c r="C14" i="27" s="1"/>
  <c r="D22" i="25"/>
  <c r="D3" i="1"/>
  <c r="F51" i="1" s="1"/>
  <c r="F52" i="1" s="1"/>
  <c r="E27" i="25" s="1"/>
  <c r="AN92" i="29"/>
  <c r="AN58" i="29"/>
  <c r="AN57" i="29"/>
  <c r="AN93" i="29"/>
  <c r="AN56" i="29"/>
  <c r="AN90" i="29"/>
  <c r="AN36" i="29"/>
  <c r="AN34" i="29"/>
  <c r="AN32" i="29"/>
  <c r="AN37" i="29"/>
  <c r="AN91" i="29"/>
  <c r="AN54" i="29"/>
  <c r="AN35" i="29"/>
  <c r="AN59" i="29"/>
  <c r="AN33" i="29"/>
  <c r="AN55" i="29"/>
  <c r="L4" i="27"/>
  <c r="AL95" i="29"/>
  <c r="AM21" i="29"/>
  <c r="AM41" i="29"/>
  <c r="AM42" i="29" s="1"/>
  <c r="AL43" i="29"/>
  <c r="AM85" i="29"/>
  <c r="AM82" i="29"/>
  <c r="AM80" i="29"/>
  <c r="AM84" i="29"/>
  <c r="AM81" i="29"/>
  <c r="AM83" i="29"/>
  <c r="AM61" i="29"/>
  <c r="AN18" i="29"/>
  <c r="AN19" i="29"/>
  <c r="AN51" i="29"/>
  <c r="AN29" i="29"/>
  <c r="AN17" i="29"/>
  <c r="AN16" i="29"/>
  <c r="AM102" i="29"/>
  <c r="AN67" i="29"/>
  <c r="AN68" i="29"/>
  <c r="AN66" i="29"/>
  <c r="AN71" i="29"/>
  <c r="AM73" i="29"/>
  <c r="AN99" i="29"/>
  <c r="C6" i="29"/>
  <c r="C5" i="19"/>
  <c r="D17" i="29"/>
  <c r="J17" i="29" s="1"/>
  <c r="C93" i="29"/>
  <c r="C10" i="27"/>
  <c r="AN3" i="29"/>
  <c r="AN86" i="29" s="1"/>
  <c r="AO2" i="29"/>
  <c r="AO4" i="29"/>
  <c r="AO32" i="29" l="1"/>
  <c r="AO92" i="29"/>
  <c r="AO58" i="29"/>
  <c r="AO57" i="29"/>
  <c r="AO55" i="29"/>
  <c r="AO37" i="29"/>
  <c r="AO36" i="29"/>
  <c r="AO34" i="29"/>
  <c r="AO33" i="29"/>
  <c r="AO56" i="29"/>
  <c r="AO91" i="29"/>
  <c r="AO93" i="29"/>
  <c r="AO54" i="29"/>
  <c r="AO35" i="29"/>
  <c r="AO90" i="29"/>
  <c r="AO59" i="29"/>
  <c r="P93" i="29"/>
  <c r="AK93" i="29"/>
  <c r="AE93" i="29"/>
  <c r="V93" i="29"/>
  <c r="S93" i="29"/>
  <c r="Y93" i="29"/>
  <c r="AH93" i="29"/>
  <c r="AB93" i="29"/>
  <c r="D25" i="25"/>
  <c r="D24" i="25"/>
  <c r="C17" i="27" s="1"/>
  <c r="D23" i="25"/>
  <c r="C16" i="27" s="1"/>
  <c r="J16" i="27" s="1"/>
  <c r="D20" i="25"/>
  <c r="C13" i="27" s="1"/>
  <c r="J13" i="27" s="1"/>
  <c r="M4" i="27"/>
  <c r="AM95" i="29"/>
  <c r="AM43" i="29"/>
  <c r="AN41" i="29"/>
  <c r="AN42" i="29" s="1"/>
  <c r="AN21" i="29"/>
  <c r="AN80" i="29"/>
  <c r="AN82" i="29"/>
  <c r="AN81" i="29"/>
  <c r="AN84" i="29"/>
  <c r="AN83" i="29"/>
  <c r="AN85" i="29"/>
  <c r="AO29" i="29"/>
  <c r="AO17" i="29"/>
  <c r="AO18" i="29"/>
  <c r="AO19" i="29"/>
  <c r="AO51" i="29"/>
  <c r="AO16" i="29"/>
  <c r="AN61" i="29"/>
  <c r="K71" i="29"/>
  <c r="L71" i="29"/>
  <c r="M71" i="29"/>
  <c r="J29" i="29"/>
  <c r="K51" i="29"/>
  <c r="K61" i="29" s="1"/>
  <c r="K66" i="29"/>
  <c r="L67" i="29"/>
  <c r="M68" i="29"/>
  <c r="AN73" i="29"/>
  <c r="AO71" i="29"/>
  <c r="AO66" i="29"/>
  <c r="AO67" i="29"/>
  <c r="AO68" i="29"/>
  <c r="AN102" i="29"/>
  <c r="C92" i="29"/>
  <c r="D16" i="29"/>
  <c r="J16" i="29" s="1"/>
  <c r="D18" i="29"/>
  <c r="J18" i="29" s="1"/>
  <c r="AP2" i="29"/>
  <c r="AO3" i="29"/>
  <c r="AO86" i="29" s="1"/>
  <c r="AP4" i="29"/>
  <c r="AP59" i="29" l="1"/>
  <c r="AP33" i="29"/>
  <c r="AP32" i="29"/>
  <c r="AP58" i="29"/>
  <c r="AP92" i="29"/>
  <c r="AP57" i="29"/>
  <c r="AP55" i="29"/>
  <c r="AP36" i="29"/>
  <c r="AP34" i="29"/>
  <c r="AP56" i="29"/>
  <c r="AP91" i="29"/>
  <c r="AP90" i="29"/>
  <c r="AP37" i="29"/>
  <c r="AP93" i="29"/>
  <c r="AP54" i="29"/>
  <c r="AP35" i="29"/>
  <c r="AB92" i="29"/>
  <c r="AB95" i="29" s="1"/>
  <c r="P92" i="29"/>
  <c r="S92" i="29"/>
  <c r="S95" i="29" s="1"/>
  <c r="AK92" i="29"/>
  <c r="AK95" i="29" s="1"/>
  <c r="V92" i="29"/>
  <c r="V95" i="29" s="1"/>
  <c r="AE92" i="29"/>
  <c r="AE95" i="29" s="1"/>
  <c r="Y92" i="29"/>
  <c r="AH92" i="29"/>
  <c r="AH95" i="29" s="1"/>
  <c r="K73" i="29"/>
  <c r="K104" i="29" s="1"/>
  <c r="N4" i="27"/>
  <c r="AN43" i="29"/>
  <c r="AN95" i="29"/>
  <c r="C18" i="27"/>
  <c r="J18" i="27" s="1"/>
  <c r="C15" i="27"/>
  <c r="O86" i="29"/>
  <c r="O95" i="29" s="1"/>
  <c r="Y86" i="29"/>
  <c r="AI86" i="29"/>
  <c r="AI95" i="29" s="1"/>
  <c r="AI104" i="29" s="1"/>
  <c r="AO80" i="29"/>
  <c r="AO81" i="29"/>
  <c r="AO84" i="29"/>
  <c r="AO85" i="29"/>
  <c r="AO83" i="29"/>
  <c r="AO82" i="29"/>
  <c r="AO21" i="29"/>
  <c r="AO41" i="29"/>
  <c r="AO42" i="29" s="1"/>
  <c r="J41" i="29"/>
  <c r="AO61" i="29"/>
  <c r="AP16" i="29"/>
  <c r="AP29" i="29"/>
  <c r="AP17" i="29"/>
  <c r="AP18" i="29"/>
  <c r="AP19" i="29"/>
  <c r="AP51" i="29"/>
  <c r="M73" i="29"/>
  <c r="L73" i="29"/>
  <c r="W104" i="29"/>
  <c r="X104" i="29"/>
  <c r="AM104" i="29"/>
  <c r="T104" i="29"/>
  <c r="AG104" i="29"/>
  <c r="AL104" i="29"/>
  <c r="U104" i="29"/>
  <c r="AC104" i="29"/>
  <c r="AJ104" i="29"/>
  <c r="AD104" i="29"/>
  <c r="AF104" i="29"/>
  <c r="Q104" i="29"/>
  <c r="R104" i="29"/>
  <c r="AA104" i="29"/>
  <c r="Z104" i="29"/>
  <c r="P95" i="29"/>
  <c r="AO73" i="29"/>
  <c r="AP71" i="29"/>
  <c r="AP66" i="29"/>
  <c r="AP67" i="29"/>
  <c r="AP68" i="29"/>
  <c r="D19" i="29"/>
  <c r="J19" i="29" s="1"/>
  <c r="AQ2" i="29"/>
  <c r="AP3" i="29"/>
  <c r="AP86" i="29" s="1"/>
  <c r="AQ4" i="29"/>
  <c r="K2" i="27"/>
  <c r="AQ34" i="29" l="1"/>
  <c r="AQ32" i="29"/>
  <c r="AQ59" i="29"/>
  <c r="AQ33" i="29"/>
  <c r="AQ92" i="29"/>
  <c r="AQ58" i="29"/>
  <c r="AQ93" i="29"/>
  <c r="AQ56" i="29"/>
  <c r="AQ35" i="29"/>
  <c r="AQ90" i="29"/>
  <c r="AQ55" i="29"/>
  <c r="AQ36" i="29"/>
  <c r="AQ91" i="29"/>
  <c r="AQ37" i="29"/>
  <c r="AQ54" i="29"/>
  <c r="AQ57" i="29"/>
  <c r="J42" i="29"/>
  <c r="J43" i="29" s="1"/>
  <c r="AN104" i="29"/>
  <c r="O4" i="27"/>
  <c r="Y95" i="29"/>
  <c r="Y104" i="29" s="1"/>
  <c r="AO95" i="29"/>
  <c r="AK104" i="29"/>
  <c r="AH104" i="29"/>
  <c r="AB104" i="29"/>
  <c r="AP81" i="29"/>
  <c r="AP83" i="29"/>
  <c r="AP85" i="29"/>
  <c r="AP84" i="29"/>
  <c r="AP80" i="29"/>
  <c r="AP82" i="29"/>
  <c r="AO43" i="29"/>
  <c r="AP41" i="29"/>
  <c r="AP42" i="29" s="1"/>
  <c r="L104" i="29"/>
  <c r="V104" i="29"/>
  <c r="AQ16" i="29"/>
  <c r="AQ29" i="29"/>
  <c r="AQ17" i="29"/>
  <c r="AQ18" i="29"/>
  <c r="AQ51" i="29"/>
  <c r="AQ19" i="29"/>
  <c r="AP61" i="29"/>
  <c r="AP21" i="29"/>
  <c r="P104" i="29"/>
  <c r="S104" i="29"/>
  <c r="AE104" i="29"/>
  <c r="J21" i="29"/>
  <c r="AQ71" i="29"/>
  <c r="AQ66" i="29"/>
  <c r="AQ68" i="29"/>
  <c r="AQ67" i="29"/>
  <c r="AP73" i="29"/>
  <c r="M104" i="29"/>
  <c r="AR2" i="29"/>
  <c r="AQ3" i="29"/>
  <c r="AQ86" i="29" s="1"/>
  <c r="K3" i="27"/>
  <c r="AR4" i="29"/>
  <c r="L2" i="27"/>
  <c r="K13" i="27" l="1"/>
  <c r="K14" i="27"/>
  <c r="AR91" i="29"/>
  <c r="AR54" i="29"/>
  <c r="AR35" i="29"/>
  <c r="AR59" i="29"/>
  <c r="AR33" i="29"/>
  <c r="AR34" i="29"/>
  <c r="AR32" i="29"/>
  <c r="AR92" i="29"/>
  <c r="AR58" i="29"/>
  <c r="AR90" i="29"/>
  <c r="AR55" i="29"/>
  <c r="AR36" i="29"/>
  <c r="AR56" i="29"/>
  <c r="AR57" i="29"/>
  <c r="AR93" i="29"/>
  <c r="AR37" i="29"/>
  <c r="K17" i="27"/>
  <c r="K16" i="27"/>
  <c r="P4" i="27"/>
  <c r="AP95" i="29"/>
  <c r="AS2" i="29"/>
  <c r="AP43" i="29"/>
  <c r="AQ81" i="29"/>
  <c r="AQ85" i="29"/>
  <c r="AQ82" i="29"/>
  <c r="AQ83" i="29"/>
  <c r="AQ84" i="29"/>
  <c r="AQ80" i="29"/>
  <c r="AO104" i="29"/>
  <c r="AR3" i="29"/>
  <c r="AR86" i="29" s="1"/>
  <c r="AQ61" i="29"/>
  <c r="AQ41" i="29"/>
  <c r="AQ42" i="29" s="1"/>
  <c r="AQ21" i="29"/>
  <c r="AR16" i="29"/>
  <c r="AR29" i="29"/>
  <c r="AR17" i="29"/>
  <c r="AR51" i="29"/>
  <c r="AR19" i="29"/>
  <c r="AR18" i="29"/>
  <c r="AQ73" i="29"/>
  <c r="AR68" i="29"/>
  <c r="AR66" i="29"/>
  <c r="AR71" i="29"/>
  <c r="AR67" i="29"/>
  <c r="K18" i="27"/>
  <c r="K15" i="27"/>
  <c r="AS4" i="29"/>
  <c r="M2" i="27"/>
  <c r="L3" i="27"/>
  <c r="L14" i="27" s="1"/>
  <c r="AS90" i="29" l="1"/>
  <c r="AS36" i="29"/>
  <c r="AS34" i="29"/>
  <c r="AS91" i="29"/>
  <c r="AS54" i="29"/>
  <c r="AS35" i="29"/>
  <c r="AS59" i="29"/>
  <c r="AS33" i="29"/>
  <c r="AS32" i="29"/>
  <c r="AS57" i="29"/>
  <c r="AS55" i="29"/>
  <c r="AS58" i="29"/>
  <c r="AS92" i="29"/>
  <c r="AS56" i="29"/>
  <c r="AS93" i="29"/>
  <c r="AS37" i="29"/>
  <c r="L17" i="27"/>
  <c r="L16" i="27"/>
  <c r="Q4" i="27"/>
  <c r="AQ95" i="29"/>
  <c r="AS19" i="29"/>
  <c r="H19" i="29" s="1"/>
  <c r="AP104" i="29"/>
  <c r="AS51" i="29"/>
  <c r="H51" i="29" s="1"/>
  <c r="AS3" i="29"/>
  <c r="AS81" i="29" s="1"/>
  <c r="AS18" i="29"/>
  <c r="H18" i="29" s="1"/>
  <c r="AS16" i="29"/>
  <c r="AS17" i="29"/>
  <c r="H17" i="29" s="1"/>
  <c r="AS29" i="29"/>
  <c r="H29" i="29" s="1"/>
  <c r="AR82" i="29"/>
  <c r="AR81" i="29"/>
  <c r="AR80" i="29"/>
  <c r="AR84" i="29"/>
  <c r="AR83" i="29"/>
  <c r="AR85" i="29"/>
  <c r="AR61" i="29"/>
  <c r="AR21" i="29"/>
  <c r="AR41" i="29"/>
  <c r="AQ43" i="29"/>
  <c r="AS68" i="29"/>
  <c r="AS66" i="29"/>
  <c r="AS71" i="29"/>
  <c r="AS67" i="29"/>
  <c r="AR73" i="29"/>
  <c r="L13" i="27"/>
  <c r="L15" i="27"/>
  <c r="L18" i="27"/>
  <c r="N2" i="27"/>
  <c r="M3" i="27"/>
  <c r="M14" i="27" s="1"/>
  <c r="G88" i="1"/>
  <c r="G87" i="1"/>
  <c r="G116" i="1"/>
  <c r="G115" i="1"/>
  <c r="G108" i="1"/>
  <c r="H150" i="1"/>
  <c r="C29" i="4"/>
  <c r="C12" i="4"/>
  <c r="C71" i="4"/>
  <c r="C61" i="4"/>
  <c r="C29" i="2"/>
  <c r="D352" i="4"/>
  <c r="C352" i="4"/>
  <c r="B353" i="4"/>
  <c r="B356" i="4"/>
  <c r="B350" i="4"/>
  <c r="F376" i="1"/>
  <c r="C356" i="4" s="1"/>
  <c r="G391" i="1"/>
  <c r="C364" i="4" s="1"/>
  <c r="AS85" i="29" l="1"/>
  <c r="M17" i="27"/>
  <c r="M16" i="27"/>
  <c r="R4" i="27"/>
  <c r="AR95" i="29"/>
  <c r="AS61" i="29"/>
  <c r="H93" i="29"/>
  <c r="AS41" i="29"/>
  <c r="AS42" i="29" s="1"/>
  <c r="AS83" i="29"/>
  <c r="AS86" i="29"/>
  <c r="H86" i="29" s="1"/>
  <c r="H92" i="29"/>
  <c r="AS21" i="29"/>
  <c r="H16" i="29"/>
  <c r="H21" i="29" s="1"/>
  <c r="F20" i="25" s="1"/>
  <c r="AS80" i="29"/>
  <c r="AS84" i="29"/>
  <c r="AS82" i="29"/>
  <c r="AQ104" i="29"/>
  <c r="AR42" i="29"/>
  <c r="AR43" i="29" s="1"/>
  <c r="AS73" i="29"/>
  <c r="L20" i="27"/>
  <c r="M13" i="27"/>
  <c r="M15" i="27"/>
  <c r="M18" i="27"/>
  <c r="O2" i="27"/>
  <c r="N3" i="27"/>
  <c r="N14" i="27" s="1"/>
  <c r="G109" i="1"/>
  <c r="C88" i="4"/>
  <c r="B88" i="4"/>
  <c r="G68" i="1"/>
  <c r="G70" i="1"/>
  <c r="G71" i="1"/>
  <c r="N17" i="27" l="1"/>
  <c r="N16" i="27"/>
  <c r="S4" i="27"/>
  <c r="AS43" i="29"/>
  <c r="AS95" i="29"/>
  <c r="H42" i="29"/>
  <c r="F27" i="25" s="1"/>
  <c r="AR104" i="29"/>
  <c r="N13" i="27"/>
  <c r="N15" i="27"/>
  <c r="N18" i="27"/>
  <c r="P2" i="27"/>
  <c r="O3" i="27"/>
  <c r="O14" i="27" s="1"/>
  <c r="H151" i="1"/>
  <c r="G346" i="1"/>
  <c r="G345" i="1"/>
  <c r="G325" i="1"/>
  <c r="G324" i="1"/>
  <c r="G304" i="1"/>
  <c r="G303" i="1"/>
  <c r="G283" i="1"/>
  <c r="G282" i="1"/>
  <c r="G262" i="1"/>
  <c r="G261" i="1"/>
  <c r="G241" i="1"/>
  <c r="G240" i="1"/>
  <c r="G220" i="1"/>
  <c r="G219" i="1"/>
  <c r="G199" i="1"/>
  <c r="G198" i="1"/>
  <c r="C157" i="4"/>
  <c r="C145" i="4"/>
  <c r="B159" i="4"/>
  <c r="B160" i="4"/>
  <c r="B161" i="4"/>
  <c r="B162" i="4"/>
  <c r="B158" i="4"/>
  <c r="B157" i="4"/>
  <c r="B145" i="4"/>
  <c r="C136" i="4"/>
  <c r="B136" i="4"/>
  <c r="B138" i="4"/>
  <c r="B139" i="4"/>
  <c r="B140" i="4"/>
  <c r="B141" i="4"/>
  <c r="B137" i="4"/>
  <c r="G186" i="1"/>
  <c r="G181" i="1"/>
  <c r="G180" i="1"/>
  <c r="G178" i="1"/>
  <c r="G177" i="1"/>
  <c r="G165" i="1"/>
  <c r="G164" i="1"/>
  <c r="G163" i="1"/>
  <c r="G162" i="1"/>
  <c r="G161" i="1"/>
  <c r="G160" i="1"/>
  <c r="G159" i="1"/>
  <c r="G157" i="1"/>
  <c r="C124" i="4"/>
  <c r="B124" i="4"/>
  <c r="G90" i="1"/>
  <c r="G91" i="1"/>
  <c r="G92" i="1"/>
  <c r="G93" i="1"/>
  <c r="G89" i="1"/>
  <c r="C73" i="4"/>
  <c r="I22" i="1"/>
  <c r="A23" i="4"/>
  <c r="A19" i="4"/>
  <c r="A13" i="4"/>
  <c r="F53" i="1"/>
  <c r="F54" i="1" s="1"/>
  <c r="F33" i="1"/>
  <c r="F32" i="1"/>
  <c r="F31" i="1"/>
  <c r="O17" i="27" l="1"/>
  <c r="O16" i="27"/>
  <c r="T4" i="27"/>
  <c r="AS104" i="29"/>
  <c r="O13" i="27"/>
  <c r="O15" i="27"/>
  <c r="O18" i="27"/>
  <c r="Q2" i="27"/>
  <c r="P3" i="27"/>
  <c r="P14" i="27" s="1"/>
  <c r="C75" i="4"/>
  <c r="C79" i="4"/>
  <c r="C77" i="4"/>
  <c r="C78" i="4"/>
  <c r="C76" i="4"/>
  <c r="D343" i="1"/>
  <c r="D313" i="4" s="1"/>
  <c r="D196" i="1"/>
  <c r="D166" i="4" s="1"/>
  <c r="D238" i="1"/>
  <c r="D208" i="4" s="1"/>
  <c r="D217" i="1"/>
  <c r="D187" i="4" s="1"/>
  <c r="D322" i="1"/>
  <c r="D292" i="4" s="1"/>
  <c r="D175" i="1"/>
  <c r="G354" i="1"/>
  <c r="G353" i="1"/>
  <c r="G352" i="1"/>
  <c r="G351" i="1"/>
  <c r="G350" i="1"/>
  <c r="G349" i="1"/>
  <c r="G348" i="1"/>
  <c r="G333" i="1"/>
  <c r="G332" i="1"/>
  <c r="G331" i="1"/>
  <c r="G330" i="1"/>
  <c r="G329" i="1"/>
  <c r="G328" i="1"/>
  <c r="G327" i="1"/>
  <c r="G312" i="1"/>
  <c r="G311" i="1"/>
  <c r="G310" i="1"/>
  <c r="G309" i="1"/>
  <c r="G308" i="1"/>
  <c r="G307" i="1"/>
  <c r="G306" i="1"/>
  <c r="G291" i="1"/>
  <c r="G290" i="1"/>
  <c r="G289" i="1"/>
  <c r="G288" i="1"/>
  <c r="G287" i="1"/>
  <c r="G286" i="1"/>
  <c r="G285" i="1"/>
  <c r="G270" i="1"/>
  <c r="G269" i="1"/>
  <c r="G268" i="1"/>
  <c r="G267" i="1"/>
  <c r="G266" i="1"/>
  <c r="G265" i="1"/>
  <c r="G264" i="1"/>
  <c r="G249" i="1"/>
  <c r="G248" i="1"/>
  <c r="G247" i="1"/>
  <c r="G246" i="1"/>
  <c r="G245" i="1"/>
  <c r="G244" i="1"/>
  <c r="G243" i="1"/>
  <c r="G228" i="1"/>
  <c r="G227" i="1"/>
  <c r="G226" i="1"/>
  <c r="G225" i="1"/>
  <c r="G224" i="1"/>
  <c r="G223" i="1"/>
  <c r="G222" i="1"/>
  <c r="G207" i="1"/>
  <c r="G206" i="1"/>
  <c r="G205" i="1"/>
  <c r="G204" i="1"/>
  <c r="G203" i="1"/>
  <c r="G202" i="1"/>
  <c r="G201" i="1"/>
  <c r="G185" i="1"/>
  <c r="G184" i="1"/>
  <c r="G183" i="1"/>
  <c r="G182" i="1"/>
  <c r="J171" i="4" l="1"/>
  <c r="J183" i="4"/>
  <c r="J182" i="4"/>
  <c r="J176" i="4"/>
  <c r="J170" i="4"/>
  <c r="J173" i="4"/>
  <c r="J168" i="4"/>
  <c r="J167" i="4"/>
  <c r="J174" i="4"/>
  <c r="J181" i="4"/>
  <c r="J180" i="4"/>
  <c r="J175" i="4"/>
  <c r="J169" i="4"/>
  <c r="J179" i="4"/>
  <c r="J172" i="4"/>
  <c r="J321" i="4"/>
  <c r="J318" i="4"/>
  <c r="J328" i="4"/>
  <c r="J326" i="4"/>
  <c r="J316" i="4"/>
  <c r="J314" i="4"/>
  <c r="J323" i="4"/>
  <c r="J317" i="4"/>
  <c r="J320" i="4"/>
  <c r="J330" i="4"/>
  <c r="J329" i="4"/>
  <c r="J322" i="4"/>
  <c r="J315" i="4"/>
  <c r="J319" i="4"/>
  <c r="J327" i="4"/>
  <c r="J298" i="4"/>
  <c r="J306" i="4"/>
  <c r="J302" i="4"/>
  <c r="J296" i="4"/>
  <c r="J308" i="4"/>
  <c r="J307" i="4"/>
  <c r="J300" i="4"/>
  <c r="J301" i="4"/>
  <c r="J309" i="4"/>
  <c r="J299" i="4"/>
  <c r="J294" i="4"/>
  <c r="J295" i="4"/>
  <c r="J305" i="4"/>
  <c r="J297" i="4"/>
  <c r="J293" i="4"/>
  <c r="J222" i="4"/>
  <c r="J223" i="4"/>
  <c r="J209" i="4"/>
  <c r="J216" i="4"/>
  <c r="J212" i="4"/>
  <c r="J218" i="4"/>
  <c r="J214" i="4"/>
  <c r="J213" i="4"/>
  <c r="J217" i="4"/>
  <c r="J211" i="4"/>
  <c r="J225" i="4"/>
  <c r="J224" i="4"/>
  <c r="J210" i="4"/>
  <c r="J221" i="4"/>
  <c r="J215" i="4"/>
  <c r="J188" i="4"/>
  <c r="J200" i="4"/>
  <c r="J201" i="4"/>
  <c r="J192" i="4"/>
  <c r="J196" i="4"/>
  <c r="J203" i="4"/>
  <c r="J197" i="4"/>
  <c r="J204" i="4"/>
  <c r="J202" i="4"/>
  <c r="J195" i="4"/>
  <c r="J190" i="4"/>
  <c r="J191" i="4"/>
  <c r="J194" i="4"/>
  <c r="J189" i="4"/>
  <c r="J193" i="4"/>
  <c r="P16" i="27"/>
  <c r="P17" i="27"/>
  <c r="U4" i="27"/>
  <c r="P18" i="27"/>
  <c r="P13" i="27"/>
  <c r="P15" i="27"/>
  <c r="R2" i="27"/>
  <c r="D338" i="4"/>
  <c r="D145" i="4"/>
  <c r="D346" i="4"/>
  <c r="D345" i="4"/>
  <c r="D340" i="4"/>
  <c r="D341" i="4"/>
  <c r="D339" i="4"/>
  <c r="Q3" i="27"/>
  <c r="Q14" i="27" s="1"/>
  <c r="F152" i="1"/>
  <c r="E154" i="1"/>
  <c r="E322" i="1"/>
  <c r="E343" i="1"/>
  <c r="E238" i="1"/>
  <c r="E196" i="1"/>
  <c r="E175" i="1"/>
  <c r="E217" i="1"/>
  <c r="G156" i="1"/>
  <c r="G130" i="1"/>
  <c r="H119" i="1"/>
  <c r="G105" i="1"/>
  <c r="B62" i="4"/>
  <c r="C62" i="4"/>
  <c r="C74" i="4"/>
  <c r="G85" i="1"/>
  <c r="B50" i="4"/>
  <c r="J185" i="4" l="1"/>
  <c r="J332" i="4"/>
  <c r="J311" i="4"/>
  <c r="J346" i="4"/>
  <c r="J338" i="4"/>
  <c r="J206" i="4"/>
  <c r="H349" i="1"/>
  <c r="C317" i="4" s="1"/>
  <c r="H309" i="1"/>
  <c r="C277" i="4" s="1"/>
  <c r="H269" i="1"/>
  <c r="C237" i="4" s="1"/>
  <c r="H243" i="1"/>
  <c r="C211" i="4" s="1"/>
  <c r="H203" i="1"/>
  <c r="C171" i="4" s="1"/>
  <c r="H162" i="1"/>
  <c r="C130" i="4" s="1"/>
  <c r="J130" i="4" s="1"/>
  <c r="H308" i="1"/>
  <c r="C276" i="4" s="1"/>
  <c r="H348" i="1"/>
  <c r="C316" i="4" s="1"/>
  <c r="H268" i="1"/>
  <c r="C236" i="4" s="1"/>
  <c r="H228" i="1"/>
  <c r="C196" i="4" s="1"/>
  <c r="H202" i="1"/>
  <c r="C170" i="4" s="1"/>
  <c r="H163" i="1"/>
  <c r="H331" i="1"/>
  <c r="C299" i="4" s="1"/>
  <c r="H291" i="1"/>
  <c r="C259" i="4" s="1"/>
  <c r="H265" i="1"/>
  <c r="C233" i="4" s="1"/>
  <c r="H225" i="1"/>
  <c r="C193" i="4" s="1"/>
  <c r="H182" i="1"/>
  <c r="H159" i="1"/>
  <c r="H330" i="1"/>
  <c r="C298" i="4" s="1"/>
  <c r="H290" i="1"/>
  <c r="C258" i="4" s="1"/>
  <c r="H329" i="1"/>
  <c r="C297" i="4" s="1"/>
  <c r="H285" i="1"/>
  <c r="C253" i="4" s="1"/>
  <c r="H226" i="1"/>
  <c r="C194" i="4" s="1"/>
  <c r="H185" i="1"/>
  <c r="H267" i="1"/>
  <c r="C235" i="4" s="1"/>
  <c r="H312" i="1"/>
  <c r="C280" i="4" s="1"/>
  <c r="H222" i="1"/>
  <c r="C190" i="4" s="1"/>
  <c r="H307" i="1"/>
  <c r="C275" i="4" s="1"/>
  <c r="H165" i="1"/>
  <c r="H352" i="1"/>
  <c r="C320" i="4" s="1"/>
  <c r="H204" i="1"/>
  <c r="C172" i="4" s="1"/>
  <c r="H289" i="1"/>
  <c r="C257" i="4" s="1"/>
  <c r="H156" i="1"/>
  <c r="H245" i="1"/>
  <c r="C213" i="4" s="1"/>
  <c r="H328" i="1"/>
  <c r="C296" i="4" s="1"/>
  <c r="H270" i="1"/>
  <c r="C238" i="4" s="1"/>
  <c r="H224" i="1"/>
  <c r="C192" i="4" s="1"/>
  <c r="H186" i="1"/>
  <c r="H327" i="1"/>
  <c r="C295" i="4" s="1"/>
  <c r="H223" i="1"/>
  <c r="C191" i="4" s="1"/>
  <c r="H180" i="1"/>
  <c r="H266" i="1"/>
  <c r="C234" i="4" s="1"/>
  <c r="H160" i="1"/>
  <c r="H353" i="1"/>
  <c r="C321" i="4" s="1"/>
  <c r="H205" i="1"/>
  <c r="C173" i="4" s="1"/>
  <c r="H306" i="1"/>
  <c r="C274" i="4" s="1"/>
  <c r="H158" i="1"/>
  <c r="H246" i="1"/>
  <c r="C214" i="4" s="1"/>
  <c r="H288" i="1"/>
  <c r="C256" i="4" s="1"/>
  <c r="H181" i="1"/>
  <c r="H311" i="1"/>
  <c r="C279" i="4" s="1"/>
  <c r="H264" i="1"/>
  <c r="C232" i="4" s="1"/>
  <c r="H207" i="1"/>
  <c r="C175" i="4" s="1"/>
  <c r="H161" i="1"/>
  <c r="H354" i="1"/>
  <c r="C322" i="4" s="1"/>
  <c r="H310" i="1"/>
  <c r="C278" i="4" s="1"/>
  <c r="H249" i="1"/>
  <c r="C217" i="4" s="1"/>
  <c r="H206" i="1"/>
  <c r="C174" i="4" s="1"/>
  <c r="H164" i="1"/>
  <c r="H248" i="1"/>
  <c r="C216" i="4" s="1"/>
  <c r="H247" i="1"/>
  <c r="C215" i="4" s="1"/>
  <c r="H351" i="1"/>
  <c r="C319" i="4" s="1"/>
  <c r="H201" i="1"/>
  <c r="C169" i="4" s="1"/>
  <c r="H350" i="1"/>
  <c r="C318" i="4" s="1"/>
  <c r="H227" i="1"/>
  <c r="C195" i="4" s="1"/>
  <c r="H183" i="1"/>
  <c r="H184" i="1"/>
  <c r="H333" i="1"/>
  <c r="C301" i="4" s="1"/>
  <c r="H332" i="1"/>
  <c r="C300" i="4" s="1"/>
  <c r="H287" i="1"/>
  <c r="C255" i="4" s="1"/>
  <c r="H286" i="1"/>
  <c r="C254" i="4" s="1"/>
  <c r="H244" i="1"/>
  <c r="C212" i="4" s="1"/>
  <c r="J340" i="4"/>
  <c r="J339" i="4"/>
  <c r="J345" i="4"/>
  <c r="J341" i="4"/>
  <c r="J154" i="4"/>
  <c r="J146" i="4"/>
  <c r="J151" i="4"/>
  <c r="J152" i="4"/>
  <c r="J159" i="4"/>
  <c r="J153" i="4"/>
  <c r="J162" i="4"/>
  <c r="J149" i="4"/>
  <c r="J147" i="4"/>
  <c r="J150" i="4"/>
  <c r="J148" i="4"/>
  <c r="J155" i="4"/>
  <c r="J160" i="4"/>
  <c r="J158" i="4"/>
  <c r="J161" i="4"/>
  <c r="Q16" i="27"/>
  <c r="Q17" i="27"/>
  <c r="V4" i="27"/>
  <c r="S2" i="27"/>
  <c r="Q13" i="27"/>
  <c r="Q15" i="27"/>
  <c r="Q18" i="27"/>
  <c r="R3" i="27"/>
  <c r="R14" i="27" s="1"/>
  <c r="C72" i="4"/>
  <c r="G172" i="1"/>
  <c r="H345" i="1"/>
  <c r="C314" i="4" s="1"/>
  <c r="E345" i="4"/>
  <c r="G376" i="1"/>
  <c r="G341" i="1"/>
  <c r="C309" i="4" s="1"/>
  <c r="E337" i="4"/>
  <c r="G361" i="1"/>
  <c r="C329" i="4" s="1"/>
  <c r="G358" i="1"/>
  <c r="C326" i="4" s="1"/>
  <c r="G339" i="1"/>
  <c r="C307" i="4" s="1"/>
  <c r="H324" i="1"/>
  <c r="C293" i="4" s="1"/>
  <c r="G169" i="1"/>
  <c r="G362" i="1"/>
  <c r="C330" i="4" s="1"/>
  <c r="G340" i="1"/>
  <c r="C308" i="4" s="1"/>
  <c r="G338" i="1"/>
  <c r="C306" i="4" s="1"/>
  <c r="E346" i="4"/>
  <c r="G170" i="1"/>
  <c r="G359" i="1"/>
  <c r="C327" i="4" s="1"/>
  <c r="E339" i="4"/>
  <c r="H347" i="1"/>
  <c r="C315" i="4" s="1"/>
  <c r="G173" i="1"/>
  <c r="G171" i="1"/>
  <c r="H166" i="1"/>
  <c r="G360" i="1"/>
  <c r="C328" i="4" s="1"/>
  <c r="H334" i="1"/>
  <c r="C302" i="4" s="1"/>
  <c r="H355" i="1"/>
  <c r="C323" i="4" s="1"/>
  <c r="H326" i="1"/>
  <c r="C294" i="4" s="1"/>
  <c r="G337" i="1"/>
  <c r="C305" i="4" s="1"/>
  <c r="E341" i="4"/>
  <c r="G254" i="1"/>
  <c r="C222" i="4" s="1"/>
  <c r="G255" i="1"/>
  <c r="C223" i="4" s="1"/>
  <c r="G256" i="1"/>
  <c r="C224" i="4" s="1"/>
  <c r="G257" i="1"/>
  <c r="C225" i="4" s="1"/>
  <c r="H242" i="1"/>
  <c r="C210" i="4" s="1"/>
  <c r="G253" i="1"/>
  <c r="C221" i="4" s="1"/>
  <c r="H250" i="1"/>
  <c r="C218" i="4" s="1"/>
  <c r="H240" i="1"/>
  <c r="C209" i="4" s="1"/>
  <c r="G211" i="1"/>
  <c r="C179" i="4" s="1"/>
  <c r="G213" i="1"/>
  <c r="C181" i="4" s="1"/>
  <c r="G214" i="1"/>
  <c r="C182" i="4" s="1"/>
  <c r="G215" i="1"/>
  <c r="C183" i="4" s="1"/>
  <c r="G212" i="1"/>
  <c r="C180" i="4" s="1"/>
  <c r="H208" i="1"/>
  <c r="C176" i="4" s="1"/>
  <c r="H200" i="1"/>
  <c r="C168" i="4" s="1"/>
  <c r="H198" i="1"/>
  <c r="C167" i="4" s="1"/>
  <c r="G235" i="1"/>
  <c r="C203" i="4" s="1"/>
  <c r="G236" i="1"/>
  <c r="C204" i="4" s="1"/>
  <c r="G232" i="1"/>
  <c r="C200" i="4" s="1"/>
  <c r="H229" i="1"/>
  <c r="C197" i="4" s="1"/>
  <c r="H221" i="1"/>
  <c r="C189" i="4" s="1"/>
  <c r="G233" i="1"/>
  <c r="C201" i="4" s="1"/>
  <c r="G234" i="1"/>
  <c r="C202" i="4" s="1"/>
  <c r="H219" i="1"/>
  <c r="C188" i="4" s="1"/>
  <c r="E340" i="4"/>
  <c r="G191" i="1"/>
  <c r="G192" i="1"/>
  <c r="G193" i="1"/>
  <c r="G194" i="1"/>
  <c r="G190" i="1"/>
  <c r="H187" i="1"/>
  <c r="H179" i="1"/>
  <c r="E338" i="4"/>
  <c r="H177" i="1"/>
  <c r="C50" i="4"/>
  <c r="J50" i="4" s="1"/>
  <c r="G76" i="1"/>
  <c r="G75" i="1"/>
  <c r="G74" i="1"/>
  <c r="G73" i="1"/>
  <c r="G72" i="1"/>
  <c r="D122" i="4"/>
  <c r="D121" i="4"/>
  <c r="C121" i="4"/>
  <c r="B122" i="4"/>
  <c r="B121" i="4"/>
  <c r="C82" i="4"/>
  <c r="C97" i="4"/>
  <c r="C105" i="4"/>
  <c r="B107" i="4"/>
  <c r="B108" i="4"/>
  <c r="B109" i="4"/>
  <c r="B110" i="4"/>
  <c r="B111" i="4"/>
  <c r="B112" i="4"/>
  <c r="B113" i="4"/>
  <c r="B114" i="4"/>
  <c r="B115" i="4"/>
  <c r="B99" i="4"/>
  <c r="B100" i="4"/>
  <c r="B101" i="4"/>
  <c r="B102" i="4"/>
  <c r="B103" i="4"/>
  <c r="A87" i="4"/>
  <c r="A84" i="4"/>
  <c r="A83" i="4"/>
  <c r="B84" i="4"/>
  <c r="B85" i="4"/>
  <c r="B86" i="4"/>
  <c r="B87" i="4"/>
  <c r="B89" i="4"/>
  <c r="B90" i="4"/>
  <c r="B91" i="4"/>
  <c r="B92" i="4"/>
  <c r="B93" i="4"/>
  <c r="B94" i="4"/>
  <c r="B95" i="4"/>
  <c r="B83" i="4"/>
  <c r="B82" i="4"/>
  <c r="B71" i="4"/>
  <c r="B81" i="4"/>
  <c r="B79" i="4"/>
  <c r="B73" i="4"/>
  <c r="B74" i="4"/>
  <c r="B75" i="4"/>
  <c r="B76" i="4"/>
  <c r="B77" i="4"/>
  <c r="B78" i="4"/>
  <c r="B69" i="4"/>
  <c r="B64" i="4"/>
  <c r="B65" i="4"/>
  <c r="B66" i="4"/>
  <c r="B67" i="4"/>
  <c r="B68" i="4"/>
  <c r="F34" i="1"/>
  <c r="F35" i="1"/>
  <c r="F36" i="1"/>
  <c r="F37" i="1"/>
  <c r="F38" i="1"/>
  <c r="F39" i="1"/>
  <c r="F40" i="1"/>
  <c r="C30" i="4"/>
  <c r="J30" i="4" s="1"/>
  <c r="B31" i="4"/>
  <c r="B32" i="4"/>
  <c r="B33" i="4"/>
  <c r="B34" i="4"/>
  <c r="B35" i="4"/>
  <c r="B36" i="4"/>
  <c r="B37" i="4"/>
  <c r="B38" i="4"/>
  <c r="B39" i="4"/>
  <c r="B30" i="4"/>
  <c r="B29" i="4"/>
  <c r="B22" i="4"/>
  <c r="B23" i="4"/>
  <c r="B24" i="4"/>
  <c r="B25" i="4"/>
  <c r="B26" i="4"/>
  <c r="B27" i="4"/>
  <c r="B14" i="4"/>
  <c r="B15" i="4"/>
  <c r="B16" i="4"/>
  <c r="B17" i="4"/>
  <c r="B18" i="4"/>
  <c r="B19" i="4"/>
  <c r="B20" i="4"/>
  <c r="B21" i="4"/>
  <c r="B360" i="4"/>
  <c r="B119" i="4"/>
  <c r="B55" i="4"/>
  <c r="B43" i="4"/>
  <c r="B8" i="4"/>
  <c r="I15" i="1"/>
  <c r="I16" i="1"/>
  <c r="I17" i="1"/>
  <c r="I18" i="1"/>
  <c r="I20" i="1"/>
  <c r="I21" i="1"/>
  <c r="C21" i="4"/>
  <c r="J21" i="4" s="1"/>
  <c r="I23" i="1"/>
  <c r="I24" i="1"/>
  <c r="I25" i="1"/>
  <c r="I26" i="1"/>
  <c r="I27" i="1"/>
  <c r="B12" i="4"/>
  <c r="D9" i="4"/>
  <c r="C9" i="4"/>
  <c r="B10" i="4"/>
  <c r="I150" i="1"/>
  <c r="G114" i="1"/>
  <c r="G113" i="1"/>
  <c r="G111" i="1"/>
  <c r="G106" i="1"/>
  <c r="C85" i="4"/>
  <c r="F394" i="1"/>
  <c r="D362" i="4"/>
  <c r="C362" i="4"/>
  <c r="F363" i="4"/>
  <c r="E363" i="4"/>
  <c r="B363" i="4"/>
  <c r="J164" i="4" l="1"/>
  <c r="J364" i="4"/>
  <c r="T2" i="27"/>
  <c r="R16" i="27"/>
  <c r="R17" i="27"/>
  <c r="W4" i="27"/>
  <c r="R18" i="27"/>
  <c r="R13" i="27"/>
  <c r="R15" i="27"/>
  <c r="S3" i="27"/>
  <c r="S14" i="27" s="1"/>
  <c r="C17" i="4"/>
  <c r="J17" i="4" s="1"/>
  <c r="C15" i="4"/>
  <c r="J15" i="4" s="1"/>
  <c r="C26" i="4"/>
  <c r="J26" i="4" s="1"/>
  <c r="C14" i="4"/>
  <c r="J14" i="4" s="1"/>
  <c r="U2" i="27"/>
  <c r="C86" i="4"/>
  <c r="C27" i="4"/>
  <c r="J27" i="4" s="1"/>
  <c r="C24" i="4"/>
  <c r="J24" i="4" s="1"/>
  <c r="C20" i="4"/>
  <c r="J20" i="4" s="1"/>
  <c r="C19" i="4"/>
  <c r="J19" i="4" s="1"/>
  <c r="C18" i="4"/>
  <c r="J18" i="4" s="1"/>
  <c r="C16" i="4"/>
  <c r="J16" i="4" s="1"/>
  <c r="C25" i="4"/>
  <c r="J25" i="4" s="1"/>
  <c r="C23" i="4"/>
  <c r="J23" i="4" s="1"/>
  <c r="C22" i="4"/>
  <c r="J22" i="4" s="1"/>
  <c r="C122" i="4"/>
  <c r="B72" i="4"/>
  <c r="H124" i="1"/>
  <c r="B98" i="4"/>
  <c r="H122" i="1"/>
  <c r="C95" i="4"/>
  <c r="C94" i="4"/>
  <c r="G110" i="1"/>
  <c r="G107" i="1"/>
  <c r="G104" i="1"/>
  <c r="G102" i="1"/>
  <c r="D57" i="4"/>
  <c r="C57" i="4"/>
  <c r="B58" i="4"/>
  <c r="C69" i="4"/>
  <c r="C68" i="4"/>
  <c r="C67" i="4"/>
  <c r="C66" i="4"/>
  <c r="C65" i="4"/>
  <c r="C64" i="4"/>
  <c r="B51" i="4"/>
  <c r="B48" i="4"/>
  <c r="C51" i="4"/>
  <c r="J51" i="4" s="1"/>
  <c r="J53" i="4" s="1"/>
  <c r="B13" i="4"/>
  <c r="C13" i="4"/>
  <c r="J13" i="4" s="1"/>
  <c r="J369" i="4" l="1"/>
  <c r="S16" i="27"/>
  <c r="S17" i="27"/>
  <c r="X4" i="27"/>
  <c r="S18" i="27"/>
  <c r="S13" i="27"/>
  <c r="S15" i="27"/>
  <c r="T3" i="27"/>
  <c r="T14" i="27" s="1"/>
  <c r="C87" i="4"/>
  <c r="C103" i="4"/>
  <c r="V2" i="27"/>
  <c r="C90" i="4"/>
  <c r="C101" i="4"/>
  <c r="C84" i="4"/>
  <c r="C83" i="4"/>
  <c r="G135" i="1"/>
  <c r="C93" i="4"/>
  <c r="C92" i="4"/>
  <c r="C89" i="4"/>
  <c r="B105" i="4"/>
  <c r="C91" i="4"/>
  <c r="G128" i="1"/>
  <c r="G129" i="1"/>
  <c r="G131" i="1"/>
  <c r="G132" i="1"/>
  <c r="G133" i="1"/>
  <c r="G134" i="1"/>
  <c r="G136" i="1"/>
  <c r="G127" i="1"/>
  <c r="H120" i="1"/>
  <c r="H121" i="1"/>
  <c r="H123" i="1"/>
  <c r="C98" i="4"/>
  <c r="B106" i="4"/>
  <c r="B97" i="4"/>
  <c r="C63" i="4"/>
  <c r="B63" i="4"/>
  <c r="B61" i="4"/>
  <c r="T16" i="27" l="1"/>
  <c r="T17" i="27"/>
  <c r="Y4" i="27"/>
  <c r="U3" i="27"/>
  <c r="U14" i="27" s="1"/>
  <c r="T18" i="27"/>
  <c r="T13" i="27"/>
  <c r="T15" i="27"/>
  <c r="C111" i="4"/>
  <c r="C110" i="4"/>
  <c r="C108" i="4"/>
  <c r="C107" i="4"/>
  <c r="W2" i="27"/>
  <c r="C102" i="4"/>
  <c r="C106" i="4"/>
  <c r="C114" i="4"/>
  <c r="C113" i="4"/>
  <c r="C100" i="4"/>
  <c r="C115" i="4"/>
  <c r="C112" i="4"/>
  <c r="C99" i="4"/>
  <c r="C109" i="4"/>
  <c r="C33" i="4"/>
  <c r="J33" i="4" s="1"/>
  <c r="C34" i="4"/>
  <c r="J34" i="4" s="1"/>
  <c r="C35" i="4"/>
  <c r="J35" i="4" s="1"/>
  <c r="C36" i="4"/>
  <c r="J36" i="4" s="1"/>
  <c r="C37" i="4"/>
  <c r="J37" i="4" s="1"/>
  <c r="C38" i="4"/>
  <c r="J38" i="4" s="1"/>
  <c r="C39" i="4"/>
  <c r="J39" i="4" s="1"/>
  <c r="U16" i="27" l="1"/>
  <c r="U17" i="27"/>
  <c r="V3" i="27"/>
  <c r="V13" i="27" s="1"/>
  <c r="Z4" i="27"/>
  <c r="U13" i="27"/>
  <c r="U18" i="27"/>
  <c r="U15" i="27"/>
  <c r="X2" i="27"/>
  <c r="J122" i="4"/>
  <c r="W3" i="27" l="1"/>
  <c r="W14" i="27" s="1"/>
  <c r="V18" i="27"/>
  <c r="V14" i="27"/>
  <c r="V16" i="27"/>
  <c r="V17" i="27"/>
  <c r="V15" i="27"/>
  <c r="AA4" i="27"/>
  <c r="Y2" i="27"/>
  <c r="D301" i="1"/>
  <c r="D271" i="4" s="1"/>
  <c r="D280" i="1"/>
  <c r="D250" i="4" s="1"/>
  <c r="D259" i="1"/>
  <c r="D229" i="4" s="1"/>
  <c r="X3" i="27" l="1"/>
  <c r="X14" i="27" s="1"/>
  <c r="W13" i="27"/>
  <c r="W16" i="27"/>
  <c r="W18" i="27"/>
  <c r="W17" i="27"/>
  <c r="W15" i="27"/>
  <c r="J246" i="4"/>
  <c r="J237" i="4"/>
  <c r="J243" i="4"/>
  <c r="J242" i="4"/>
  <c r="J244" i="4"/>
  <c r="J233" i="4"/>
  <c r="J236" i="4"/>
  <c r="J230" i="4"/>
  <c r="J231" i="4"/>
  <c r="J239" i="4"/>
  <c r="J245" i="4"/>
  <c r="J238" i="4"/>
  <c r="J235" i="4"/>
  <c r="J234" i="4"/>
  <c r="J232" i="4"/>
  <c r="J263" i="4"/>
  <c r="J267" i="4"/>
  <c r="J259" i="4"/>
  <c r="J252" i="4"/>
  <c r="J253" i="4"/>
  <c r="J254" i="4"/>
  <c r="J260" i="4"/>
  <c r="J256" i="4"/>
  <c r="J265" i="4"/>
  <c r="J257" i="4"/>
  <c r="J258" i="4"/>
  <c r="J266" i="4"/>
  <c r="J251" i="4"/>
  <c r="J264" i="4"/>
  <c r="J255" i="4"/>
  <c r="J279" i="4"/>
  <c r="J275" i="4"/>
  <c r="J274" i="4"/>
  <c r="J285" i="4"/>
  <c r="J278" i="4"/>
  <c r="J273" i="4"/>
  <c r="J286" i="4"/>
  <c r="J277" i="4"/>
  <c r="E374" i="4" s="1"/>
  <c r="J287" i="4"/>
  <c r="J276" i="4"/>
  <c r="J281" i="4"/>
  <c r="J288" i="4"/>
  <c r="J280" i="4"/>
  <c r="J284" i="4"/>
  <c r="J272" i="4"/>
  <c r="AB4" i="27"/>
  <c r="X13" i="27"/>
  <c r="X15" i="27"/>
  <c r="E259" i="1"/>
  <c r="G274" i="1" s="1"/>
  <c r="C242" i="4" s="1"/>
  <c r="D342" i="4"/>
  <c r="E280" i="1"/>
  <c r="H284" i="1" s="1"/>
  <c r="C252" i="4" s="1"/>
  <c r="D343" i="4"/>
  <c r="E301" i="1"/>
  <c r="E344" i="4" s="1"/>
  <c r="D344" i="4"/>
  <c r="Z2" i="27"/>
  <c r="Y3" i="27"/>
  <c r="Y14" i="27" s="1"/>
  <c r="D78" i="1"/>
  <c r="X16" i="27" l="1"/>
  <c r="X17" i="27"/>
  <c r="X18" i="27"/>
  <c r="J248" i="4"/>
  <c r="J290" i="4"/>
  <c r="J269" i="4"/>
  <c r="J344" i="4"/>
  <c r="J343" i="4"/>
  <c r="J342" i="4"/>
  <c r="Y17" i="27"/>
  <c r="Y16" i="27"/>
  <c r="AC4" i="27"/>
  <c r="Y13" i="27"/>
  <c r="Y15" i="27"/>
  <c r="Y18" i="27"/>
  <c r="E343" i="4"/>
  <c r="H263" i="1"/>
  <c r="C231" i="4" s="1"/>
  <c r="G296" i="1"/>
  <c r="C264" i="4" s="1"/>
  <c r="G298" i="1"/>
  <c r="C266" i="4" s="1"/>
  <c r="G297" i="1"/>
  <c r="C265" i="4" s="1"/>
  <c r="G295" i="1"/>
  <c r="C263" i="4" s="1"/>
  <c r="E342" i="4"/>
  <c r="H271" i="1"/>
  <c r="C239" i="4" s="1"/>
  <c r="H282" i="1"/>
  <c r="C251" i="4" s="1"/>
  <c r="H261" i="1"/>
  <c r="C230" i="4" s="1"/>
  <c r="G278" i="1"/>
  <c r="C246" i="4" s="1"/>
  <c r="G277" i="1"/>
  <c r="C245" i="4" s="1"/>
  <c r="G275" i="1"/>
  <c r="C243" i="4" s="1"/>
  <c r="G276" i="1"/>
  <c r="C244" i="4" s="1"/>
  <c r="H303" i="1"/>
  <c r="C272" i="4" s="1"/>
  <c r="H313" i="1"/>
  <c r="C281" i="4" s="1"/>
  <c r="G316" i="1"/>
  <c r="C284" i="4" s="1"/>
  <c r="G320" i="1"/>
  <c r="C288" i="4" s="1"/>
  <c r="G319" i="1"/>
  <c r="C287" i="4" s="1"/>
  <c r="H305" i="1"/>
  <c r="C273" i="4" s="1"/>
  <c r="G318" i="1"/>
  <c r="C286" i="4" s="1"/>
  <c r="G317" i="1"/>
  <c r="C285" i="4" s="1"/>
  <c r="H292" i="1"/>
  <c r="C260" i="4" s="1"/>
  <c r="G299" i="1"/>
  <c r="C267" i="4" s="1"/>
  <c r="Z3" i="27"/>
  <c r="Z14" i="27" s="1"/>
  <c r="AA2" i="27"/>
  <c r="C149" i="4"/>
  <c r="C150" i="4"/>
  <c r="C151" i="4"/>
  <c r="C155" i="4"/>
  <c r="C152" i="4"/>
  <c r="C159" i="4"/>
  <c r="C148" i="4"/>
  <c r="C160" i="4"/>
  <c r="C147" i="4"/>
  <c r="C161" i="4"/>
  <c r="C146" i="4"/>
  <c r="C162" i="4"/>
  <c r="C158" i="4"/>
  <c r="C154" i="4"/>
  <c r="C153" i="4"/>
  <c r="C137" i="4"/>
  <c r="J137" i="4" s="1"/>
  <c r="C125" i="4"/>
  <c r="J125" i="4" s="1"/>
  <c r="C126" i="4"/>
  <c r="J126" i="4" s="1"/>
  <c r="C127" i="4"/>
  <c r="J127" i="4" s="1"/>
  <c r="C128" i="4"/>
  <c r="J128" i="4" s="1"/>
  <c r="C140" i="4"/>
  <c r="J140" i="4" s="1"/>
  <c r="C129" i="4"/>
  <c r="J129" i="4" s="1"/>
  <c r="C141" i="4"/>
  <c r="J141" i="4" s="1"/>
  <c r="C131" i="4"/>
  <c r="J131" i="4" s="1"/>
  <c r="C138" i="4"/>
  <c r="J138" i="4" s="1"/>
  <c r="C132" i="4"/>
  <c r="J132" i="4" s="1"/>
  <c r="C139" i="4"/>
  <c r="J139" i="4" s="1"/>
  <c r="C133" i="4"/>
  <c r="J133" i="4" s="1"/>
  <c r="C134" i="4"/>
  <c r="J134" i="4" s="1"/>
  <c r="D96" i="1"/>
  <c r="J143" i="4" l="1"/>
  <c r="Z17" i="27"/>
  <c r="Z16" i="27"/>
  <c r="AD4" i="27"/>
  <c r="Z13" i="27"/>
  <c r="Z15" i="27"/>
  <c r="Z18" i="27"/>
  <c r="AA3" i="27"/>
  <c r="AA14" i="27" s="1"/>
  <c r="AB2" i="27"/>
  <c r="J227" i="4"/>
  <c r="AA17" i="27" l="1"/>
  <c r="AA16" i="27"/>
  <c r="AE4" i="27"/>
  <c r="AA13" i="27"/>
  <c r="AA15" i="27"/>
  <c r="AA18" i="27"/>
  <c r="AC2" i="27"/>
  <c r="AB3" i="27"/>
  <c r="AB14" i="27" s="1"/>
  <c r="AB16" i="27" l="1"/>
  <c r="AB17" i="27"/>
  <c r="AF4" i="27"/>
  <c r="AB13" i="27"/>
  <c r="AB15" i="27"/>
  <c r="AB18" i="27"/>
  <c r="AD2" i="27"/>
  <c r="AC3" i="27"/>
  <c r="AC14" i="27" s="1"/>
  <c r="AC16" i="27" l="1"/>
  <c r="AC17" i="27"/>
  <c r="AG4" i="27"/>
  <c r="AC18" i="27"/>
  <c r="AC13" i="27"/>
  <c r="AC15" i="27"/>
  <c r="AD3" i="27"/>
  <c r="AD14" i="27" s="1"/>
  <c r="AE2" i="27"/>
  <c r="AD16" i="27" l="1"/>
  <c r="AD17" i="27"/>
  <c r="AH4" i="27"/>
  <c r="AD18" i="27"/>
  <c r="AD13" i="27"/>
  <c r="AD15" i="27"/>
  <c r="AE3" i="27"/>
  <c r="AE14" i="27" s="1"/>
  <c r="AF2" i="27"/>
  <c r="C59" i="4"/>
  <c r="K2" i="4"/>
  <c r="C32" i="4"/>
  <c r="J32" i="4" s="1"/>
  <c r="C31" i="4"/>
  <c r="J31" i="4" s="1"/>
  <c r="J41" i="4" l="1"/>
  <c r="K375" i="4"/>
  <c r="K374" i="4"/>
  <c r="AE16" i="27"/>
  <c r="AE17" i="27"/>
  <c r="AI4" i="27"/>
  <c r="AE18" i="27"/>
  <c r="AE13" i="27"/>
  <c r="AE15" i="27"/>
  <c r="K3" i="4"/>
  <c r="K364" i="4" s="1"/>
  <c r="AF3" i="27"/>
  <c r="AF14" i="27" s="1"/>
  <c r="AG2" i="27"/>
  <c r="L2" i="4"/>
  <c r="K377" i="4" l="1"/>
  <c r="L375" i="4"/>
  <c r="L374" i="4"/>
  <c r="K132" i="4"/>
  <c r="K356" i="4"/>
  <c r="K358" i="4" s="1"/>
  <c r="K127" i="4"/>
  <c r="K126" i="4"/>
  <c r="K131" i="4"/>
  <c r="K337" i="4"/>
  <c r="K125" i="4"/>
  <c r="K129" i="4"/>
  <c r="K130" i="4"/>
  <c r="K133" i="4"/>
  <c r="K134" i="4"/>
  <c r="K128" i="4"/>
  <c r="K175" i="4"/>
  <c r="K179" i="4"/>
  <c r="K168" i="4"/>
  <c r="K173" i="4"/>
  <c r="K328" i="4"/>
  <c r="K305" i="4"/>
  <c r="K167" i="4"/>
  <c r="K170" i="4"/>
  <c r="K329" i="4"/>
  <c r="K317" i="4"/>
  <c r="K171" i="4"/>
  <c r="K172" i="4"/>
  <c r="K180" i="4"/>
  <c r="K169" i="4"/>
  <c r="K330" i="4"/>
  <c r="K176" i="4"/>
  <c r="K322" i="4"/>
  <c r="K182" i="4"/>
  <c r="K316" i="4"/>
  <c r="K213" i="4"/>
  <c r="K174" i="4"/>
  <c r="K320" i="4"/>
  <c r="K307" i="4"/>
  <c r="K314" i="4"/>
  <c r="K183" i="4"/>
  <c r="K326" i="4"/>
  <c r="K327" i="4"/>
  <c r="K210" i="4"/>
  <c r="K191" i="4"/>
  <c r="K321" i="4"/>
  <c r="K218" i="4"/>
  <c r="K297" i="4"/>
  <c r="K181" i="4"/>
  <c r="K294" i="4"/>
  <c r="K212" i="4"/>
  <c r="K301" i="4"/>
  <c r="K293" i="4"/>
  <c r="K308" i="4"/>
  <c r="K217" i="4"/>
  <c r="K211" i="4"/>
  <c r="K194" i="4"/>
  <c r="K319" i="4"/>
  <c r="K306" i="4"/>
  <c r="K318" i="4"/>
  <c r="K300" i="4"/>
  <c r="K214" i="4"/>
  <c r="K202" i="4"/>
  <c r="K188" i="4"/>
  <c r="K323" i="4"/>
  <c r="K295" i="4"/>
  <c r="K221" i="4"/>
  <c r="K223" i="4"/>
  <c r="K192" i="4"/>
  <c r="K302" i="4"/>
  <c r="K216" i="4"/>
  <c r="K224" i="4"/>
  <c r="K195" i="4"/>
  <c r="K309" i="4"/>
  <c r="K189" i="4"/>
  <c r="K193" i="4"/>
  <c r="K201" i="4"/>
  <c r="K296" i="4"/>
  <c r="K196" i="4"/>
  <c r="K190" i="4"/>
  <c r="K315" i="4"/>
  <c r="K225" i="4"/>
  <c r="K298" i="4"/>
  <c r="K222" i="4"/>
  <c r="K299" i="4"/>
  <c r="K209" i="4"/>
  <c r="K197" i="4"/>
  <c r="K200" i="4"/>
  <c r="K203" i="4"/>
  <c r="K215" i="4"/>
  <c r="K204" i="4"/>
  <c r="K345" i="4"/>
  <c r="K341" i="4"/>
  <c r="K340" i="4"/>
  <c r="K346" i="4"/>
  <c r="K339" i="4"/>
  <c r="K258" i="4"/>
  <c r="K256" i="4"/>
  <c r="K255" i="4"/>
  <c r="K257" i="4"/>
  <c r="K244" i="4"/>
  <c r="K260" i="4"/>
  <c r="K267" i="4"/>
  <c r="K287" i="4"/>
  <c r="K284" i="4"/>
  <c r="K277" i="4"/>
  <c r="K263" i="4"/>
  <c r="K273" i="4"/>
  <c r="K279" i="4"/>
  <c r="K231" i="4"/>
  <c r="K275" i="4"/>
  <c r="K238" i="4"/>
  <c r="K236" i="4"/>
  <c r="K265" i="4"/>
  <c r="K288" i="4"/>
  <c r="K278" i="4"/>
  <c r="K233" i="4"/>
  <c r="K234" i="4"/>
  <c r="K235" i="4"/>
  <c r="K266" i="4"/>
  <c r="K252" i="4"/>
  <c r="K281" i="4"/>
  <c r="K274" i="4"/>
  <c r="K232" i="4"/>
  <c r="K254" i="4"/>
  <c r="K243" i="4"/>
  <c r="K259" i="4"/>
  <c r="K246" i="4"/>
  <c r="K245" i="4"/>
  <c r="K253" i="4"/>
  <c r="K242" i="4"/>
  <c r="K251" i="4"/>
  <c r="K230" i="4"/>
  <c r="K285" i="4"/>
  <c r="K264" i="4"/>
  <c r="K286" i="4"/>
  <c r="K237" i="4"/>
  <c r="K239" i="4"/>
  <c r="K276" i="4"/>
  <c r="K272" i="4"/>
  <c r="K280" i="4"/>
  <c r="K344" i="4"/>
  <c r="K343" i="4"/>
  <c r="K342" i="4"/>
  <c r="K152" i="4"/>
  <c r="K158" i="4"/>
  <c r="K146" i="4"/>
  <c r="K137" i="4"/>
  <c r="K147" i="4"/>
  <c r="K148" i="4"/>
  <c r="K149" i="4"/>
  <c r="K150" i="4"/>
  <c r="K159" i="4"/>
  <c r="K86" i="4"/>
  <c r="K100" i="4"/>
  <c r="K140" i="4"/>
  <c r="K153" i="4"/>
  <c r="K76" i="4"/>
  <c r="K103" i="4"/>
  <c r="K108" i="4"/>
  <c r="K111" i="4"/>
  <c r="K162" i="4"/>
  <c r="K85" i="4"/>
  <c r="K87" i="4"/>
  <c r="K90" i="4"/>
  <c r="K113" i="4"/>
  <c r="K151" i="4"/>
  <c r="K73" i="4"/>
  <c r="K77" i="4"/>
  <c r="K88" i="4"/>
  <c r="K99" i="4"/>
  <c r="K101" i="4"/>
  <c r="K91" i="4"/>
  <c r="K155" i="4"/>
  <c r="K83" i="4"/>
  <c r="K112" i="4"/>
  <c r="K65" i="4"/>
  <c r="K89" i="4"/>
  <c r="K139" i="4"/>
  <c r="K141" i="4"/>
  <c r="K79" i="4"/>
  <c r="K92" i="4"/>
  <c r="K94" i="4"/>
  <c r="K95" i="4"/>
  <c r="K161" i="4"/>
  <c r="K98" i="4"/>
  <c r="K62" i="4"/>
  <c r="K66" i="4"/>
  <c r="K102" i="4"/>
  <c r="K69" i="4"/>
  <c r="K109" i="4"/>
  <c r="K68" i="4"/>
  <c r="K110" i="4"/>
  <c r="K114" i="4"/>
  <c r="K154" i="4"/>
  <c r="K106" i="4"/>
  <c r="K64" i="4"/>
  <c r="K138" i="4"/>
  <c r="K67" i="4"/>
  <c r="K78" i="4"/>
  <c r="K160" i="4"/>
  <c r="K84" i="4"/>
  <c r="K115" i="4"/>
  <c r="K75" i="4"/>
  <c r="K107" i="4"/>
  <c r="K122" i="4"/>
  <c r="K63" i="4"/>
  <c r="K74" i="4"/>
  <c r="K72" i="4"/>
  <c r="K93" i="4"/>
  <c r="K50" i="4"/>
  <c r="K39" i="4"/>
  <c r="K22" i="4"/>
  <c r="K38" i="4"/>
  <c r="K21" i="4"/>
  <c r="K32" i="4"/>
  <c r="K15" i="4"/>
  <c r="K13" i="4"/>
  <c r="K37" i="4"/>
  <c r="K20" i="4"/>
  <c r="K30" i="4"/>
  <c r="K27" i="4"/>
  <c r="K31" i="4"/>
  <c r="K36" i="4"/>
  <c r="K24" i="4"/>
  <c r="K16" i="4"/>
  <c r="K33" i="4"/>
  <c r="K14" i="4"/>
  <c r="K34" i="4"/>
  <c r="K35" i="4"/>
  <c r="K19" i="4"/>
  <c r="K51" i="4"/>
  <c r="K17" i="4"/>
  <c r="K23" i="4"/>
  <c r="K26" i="4"/>
  <c r="K18" i="4"/>
  <c r="K25" i="4"/>
  <c r="AF16" i="27"/>
  <c r="AF17" i="27"/>
  <c r="AJ4" i="27"/>
  <c r="AF18" i="27"/>
  <c r="AF15" i="27"/>
  <c r="AF13" i="27"/>
  <c r="AG3" i="27"/>
  <c r="AG14" i="27" s="1"/>
  <c r="AH2" i="27"/>
  <c r="M2" i="4"/>
  <c r="L3" i="4"/>
  <c r="L364" i="4" s="1"/>
  <c r="K248" i="4" l="1"/>
  <c r="K269" i="4"/>
  <c r="K311" i="4"/>
  <c r="K164" i="4"/>
  <c r="K332" i="4"/>
  <c r="K290" i="4"/>
  <c r="K143" i="4"/>
  <c r="L377" i="4"/>
  <c r="M375" i="4"/>
  <c r="M374" i="4"/>
  <c r="L131" i="4"/>
  <c r="L133" i="4"/>
  <c r="L134" i="4"/>
  <c r="L337" i="4"/>
  <c r="L129" i="4"/>
  <c r="L356" i="4"/>
  <c r="L358" i="4" s="1"/>
  <c r="L128" i="4"/>
  <c r="L127" i="4"/>
  <c r="L132" i="4"/>
  <c r="L125" i="4"/>
  <c r="L126" i="4"/>
  <c r="L130" i="4"/>
  <c r="L328" i="4"/>
  <c r="L316" i="4"/>
  <c r="L323" i="4"/>
  <c r="L330" i="4"/>
  <c r="L317" i="4"/>
  <c r="L326" i="4"/>
  <c r="L314" i="4"/>
  <c r="L327" i="4"/>
  <c r="L321" i="4"/>
  <c r="L306" i="4"/>
  <c r="L308" i="4"/>
  <c r="L315" i="4"/>
  <c r="L329" i="4"/>
  <c r="L322" i="4"/>
  <c r="L305" i="4"/>
  <c r="L294" i="4"/>
  <c r="L309" i="4"/>
  <c r="L296" i="4"/>
  <c r="L297" i="4"/>
  <c r="L299" i="4"/>
  <c r="L293" i="4"/>
  <c r="L222" i="4"/>
  <c r="L295" i="4"/>
  <c r="L298" i="4"/>
  <c r="L215" i="4"/>
  <c r="L223" i="4"/>
  <c r="L301" i="4"/>
  <c r="L216" i="4"/>
  <c r="L307" i="4"/>
  <c r="L302" i="4"/>
  <c r="L214" i="4"/>
  <c r="L201" i="4"/>
  <c r="L197" i="4"/>
  <c r="L300" i="4"/>
  <c r="L221" i="4"/>
  <c r="L204" i="4"/>
  <c r="L218" i="4"/>
  <c r="L225" i="4"/>
  <c r="L213" i="4"/>
  <c r="L217" i="4"/>
  <c r="L203" i="4"/>
  <c r="L192" i="4"/>
  <c r="L188" i="4"/>
  <c r="L212" i="4"/>
  <c r="L318" i="4"/>
  <c r="L210" i="4"/>
  <c r="L193" i="4"/>
  <c r="L194" i="4"/>
  <c r="L224" i="4"/>
  <c r="L211" i="4"/>
  <c r="L195" i="4"/>
  <c r="L319" i="4"/>
  <c r="L189" i="4"/>
  <c r="L202" i="4"/>
  <c r="L196" i="4"/>
  <c r="L200" i="4"/>
  <c r="L190" i="4"/>
  <c r="L320" i="4"/>
  <c r="L209" i="4"/>
  <c r="L191" i="4"/>
  <c r="L160" i="4"/>
  <c r="L338" i="4"/>
  <c r="L341" i="4"/>
  <c r="L346" i="4"/>
  <c r="L345" i="4"/>
  <c r="L340" i="4"/>
  <c r="L167" i="4"/>
  <c r="L369" i="4"/>
  <c r="L171" i="4"/>
  <c r="L172" i="4"/>
  <c r="L173" i="4"/>
  <c r="L182" i="4"/>
  <c r="L181" i="4"/>
  <c r="L170" i="4"/>
  <c r="L174" i="4"/>
  <c r="L168" i="4"/>
  <c r="L169" i="4"/>
  <c r="L179" i="4"/>
  <c r="L175" i="4"/>
  <c r="L176" i="4"/>
  <c r="L183" i="4"/>
  <c r="L180" i="4"/>
  <c r="L234" i="4"/>
  <c r="L267" i="4"/>
  <c r="L235" i="4"/>
  <c r="L233" i="4"/>
  <c r="L239" i="4"/>
  <c r="L230" i="4"/>
  <c r="L260" i="4"/>
  <c r="L279" i="4"/>
  <c r="L288" i="4"/>
  <c r="L231" i="4"/>
  <c r="L254" i="4"/>
  <c r="L287" i="4"/>
  <c r="L244" i="4"/>
  <c r="L252" i="4"/>
  <c r="L257" i="4"/>
  <c r="L278" i="4"/>
  <c r="L275" i="4"/>
  <c r="L245" i="4"/>
  <c r="L242" i="4"/>
  <c r="L265" i="4"/>
  <c r="L264" i="4"/>
  <c r="L251" i="4"/>
  <c r="L263" i="4"/>
  <c r="L286" i="4"/>
  <c r="L237" i="4"/>
  <c r="L236" i="4"/>
  <c r="L273" i="4"/>
  <c r="L272" i="4"/>
  <c r="L274" i="4"/>
  <c r="L276" i="4"/>
  <c r="L232" i="4"/>
  <c r="L277" i="4"/>
  <c r="L246" i="4"/>
  <c r="L253" i="4"/>
  <c r="L259" i="4"/>
  <c r="L284" i="4"/>
  <c r="L280" i="4"/>
  <c r="L238" i="4"/>
  <c r="L258" i="4"/>
  <c r="L256" i="4"/>
  <c r="L285" i="4"/>
  <c r="L266" i="4"/>
  <c r="L255" i="4"/>
  <c r="L281" i="4"/>
  <c r="L243" i="4"/>
  <c r="L343" i="4"/>
  <c r="L342" i="4"/>
  <c r="L344" i="4"/>
  <c r="K369" i="4"/>
  <c r="L159" i="4"/>
  <c r="L138" i="4"/>
  <c r="L158" i="4"/>
  <c r="L151" i="4"/>
  <c r="L152" i="4"/>
  <c r="L153" i="4"/>
  <c r="L154" i="4"/>
  <c r="L155" i="4"/>
  <c r="L72" i="4"/>
  <c r="L87" i="4"/>
  <c r="L101" i="4"/>
  <c r="L147" i="4"/>
  <c r="L148" i="4"/>
  <c r="L74" i="4"/>
  <c r="L77" i="4"/>
  <c r="L78" i="4"/>
  <c r="L89" i="4"/>
  <c r="L92" i="4"/>
  <c r="L95" i="4"/>
  <c r="L100" i="4"/>
  <c r="L112" i="4"/>
  <c r="L161" i="4"/>
  <c r="L75" i="4"/>
  <c r="L162" i="4"/>
  <c r="L150" i="4"/>
  <c r="L137" i="4"/>
  <c r="L103" i="4"/>
  <c r="L90" i="4"/>
  <c r="L113" i="4"/>
  <c r="L83" i="4"/>
  <c r="L140" i="4"/>
  <c r="L76" i="4"/>
  <c r="L93" i="4"/>
  <c r="L68" i="4"/>
  <c r="L139" i="4"/>
  <c r="L141" i="4"/>
  <c r="L79" i="4"/>
  <c r="L94" i="4"/>
  <c r="L99" i="4"/>
  <c r="L63" i="4"/>
  <c r="L65" i="4"/>
  <c r="L102" i="4"/>
  <c r="L69" i="4"/>
  <c r="L109" i="4"/>
  <c r="L98" i="4"/>
  <c r="L110" i="4"/>
  <c r="L67" i="4"/>
  <c r="L149" i="4"/>
  <c r="L91" i="4"/>
  <c r="L114" i="4"/>
  <c r="L146" i="4"/>
  <c r="L106" i="4"/>
  <c r="L111" i="4"/>
  <c r="L62" i="4"/>
  <c r="L66" i="4"/>
  <c r="L85" i="4"/>
  <c r="L64" i="4"/>
  <c r="L84" i="4"/>
  <c r="L86" i="4"/>
  <c r="L115" i="4"/>
  <c r="L107" i="4"/>
  <c r="L122" i="4"/>
  <c r="L73" i="4"/>
  <c r="L88" i="4"/>
  <c r="L108" i="4"/>
  <c r="K117" i="4"/>
  <c r="K41" i="4"/>
  <c r="L23" i="4"/>
  <c r="L50" i="4"/>
  <c r="L39" i="4"/>
  <c r="L22" i="4"/>
  <c r="L24" i="4"/>
  <c r="L20" i="4"/>
  <c r="L32" i="4"/>
  <c r="L15" i="4"/>
  <c r="L37" i="4"/>
  <c r="L18" i="4"/>
  <c r="L31" i="4"/>
  <c r="L30" i="4"/>
  <c r="L17" i="4"/>
  <c r="L16" i="4"/>
  <c r="L21" i="4"/>
  <c r="L26" i="4"/>
  <c r="L33" i="4"/>
  <c r="L38" i="4"/>
  <c r="L14" i="4"/>
  <c r="L27" i="4"/>
  <c r="L34" i="4"/>
  <c r="L35" i="4"/>
  <c r="L19" i="4"/>
  <c r="L51" i="4"/>
  <c r="L13" i="4"/>
  <c r="L25" i="4"/>
  <c r="L36" i="4"/>
  <c r="K53" i="4"/>
  <c r="AG16" i="27"/>
  <c r="AG17" i="27"/>
  <c r="AK4" i="27"/>
  <c r="AG13" i="27"/>
  <c r="AG18" i="27"/>
  <c r="AG15" i="27"/>
  <c r="AI2" i="27"/>
  <c r="AH3" i="27"/>
  <c r="AH14" i="27" s="1"/>
  <c r="K227" i="4"/>
  <c r="K206" i="4"/>
  <c r="K185" i="4"/>
  <c r="N2" i="4"/>
  <c r="M3" i="4"/>
  <c r="M364" i="4" s="1"/>
  <c r="L53" i="4" l="1"/>
  <c r="L311" i="4"/>
  <c r="L143" i="4"/>
  <c r="L185" i="4"/>
  <c r="L332" i="4"/>
  <c r="L290" i="4"/>
  <c r="L269" i="4"/>
  <c r="L248" i="4"/>
  <c r="M377" i="4"/>
  <c r="N375" i="4"/>
  <c r="N374" i="4"/>
  <c r="M125" i="4"/>
  <c r="M129" i="4"/>
  <c r="M126" i="4"/>
  <c r="M131" i="4"/>
  <c r="M337" i="4"/>
  <c r="M134" i="4"/>
  <c r="M130" i="4"/>
  <c r="M127" i="4"/>
  <c r="M128" i="4"/>
  <c r="M133" i="4"/>
  <c r="M132" i="4"/>
  <c r="M356" i="4"/>
  <c r="M358" i="4" s="1"/>
  <c r="M323" i="4"/>
  <c r="M329" i="4"/>
  <c r="M315" i="4"/>
  <c r="M181" i="4"/>
  <c r="M172" i="4"/>
  <c r="M176" i="4"/>
  <c r="M183" i="4"/>
  <c r="M175" i="4"/>
  <c r="M174" i="4"/>
  <c r="M328" i="4"/>
  <c r="M171" i="4"/>
  <c r="M182" i="4"/>
  <c r="M169" i="4"/>
  <c r="M319" i="4"/>
  <c r="M317" i="4"/>
  <c r="M300" i="4"/>
  <c r="M320" i="4"/>
  <c r="M295" i="4"/>
  <c r="M299" i="4"/>
  <c r="M307" i="4"/>
  <c r="M298" i="4"/>
  <c r="M179" i="4"/>
  <c r="M296" i="4"/>
  <c r="M314" i="4"/>
  <c r="M318" i="4"/>
  <c r="M301" i="4"/>
  <c r="M167" i="4"/>
  <c r="M305" i="4"/>
  <c r="M213" i="4"/>
  <c r="M221" i="4"/>
  <c r="M223" i="4"/>
  <c r="M209" i="4"/>
  <c r="M293" i="4"/>
  <c r="M224" i="4"/>
  <c r="M218" i="4"/>
  <c r="M330" i="4"/>
  <c r="M308" i="4"/>
  <c r="M173" i="4"/>
  <c r="M321" i="4"/>
  <c r="M214" i="4"/>
  <c r="M306" i="4"/>
  <c r="M297" i="4"/>
  <c r="M212" i="4"/>
  <c r="M316" i="4"/>
  <c r="M309" i="4"/>
  <c r="M327" i="4"/>
  <c r="M294" i="4"/>
  <c r="M302" i="4"/>
  <c r="M215" i="4"/>
  <c r="M170" i="4"/>
  <c r="M322" i="4"/>
  <c r="M180" i="4"/>
  <c r="M222" i="4"/>
  <c r="M225" i="4"/>
  <c r="M168" i="4"/>
  <c r="M326" i="4"/>
  <c r="M211" i="4"/>
  <c r="M217" i="4"/>
  <c r="M216" i="4"/>
  <c r="M210" i="4"/>
  <c r="M339" i="4"/>
  <c r="M346" i="4"/>
  <c r="M345" i="4"/>
  <c r="M338" i="4"/>
  <c r="M341" i="4"/>
  <c r="M196" i="4"/>
  <c r="M200" i="4"/>
  <c r="M204" i="4"/>
  <c r="M201" i="4"/>
  <c r="M191" i="4"/>
  <c r="M189" i="4"/>
  <c r="M193" i="4"/>
  <c r="M197" i="4"/>
  <c r="M195" i="4"/>
  <c r="M188" i="4"/>
  <c r="M203" i="4"/>
  <c r="M190" i="4"/>
  <c r="M194" i="4"/>
  <c r="M192" i="4"/>
  <c r="M202" i="4"/>
  <c r="M234" i="4"/>
  <c r="M238" i="4"/>
  <c r="M257" i="4"/>
  <c r="M278" i="4"/>
  <c r="M284" i="4"/>
  <c r="M285" i="4"/>
  <c r="M280" i="4"/>
  <c r="M267" i="4"/>
  <c r="M236" i="4"/>
  <c r="M275" i="4"/>
  <c r="M256" i="4"/>
  <c r="M279" i="4"/>
  <c r="M244" i="4"/>
  <c r="M254" i="4"/>
  <c r="M233" i="4"/>
  <c r="M265" i="4"/>
  <c r="M277" i="4"/>
  <c r="M281" i="4"/>
  <c r="M276" i="4"/>
  <c r="M242" i="4"/>
  <c r="M272" i="4"/>
  <c r="M252" i="4"/>
  <c r="M235" i="4"/>
  <c r="M232" i="4"/>
  <c r="M230" i="4"/>
  <c r="M286" i="4"/>
  <c r="M239" i="4"/>
  <c r="M264" i="4"/>
  <c r="M245" i="4"/>
  <c r="M251" i="4"/>
  <c r="M258" i="4"/>
  <c r="M263" i="4"/>
  <c r="M274" i="4"/>
  <c r="M273" i="4"/>
  <c r="M255" i="4"/>
  <c r="M243" i="4"/>
  <c r="M246" i="4"/>
  <c r="M259" i="4"/>
  <c r="M288" i="4"/>
  <c r="M231" i="4"/>
  <c r="M237" i="4"/>
  <c r="M253" i="4"/>
  <c r="M260" i="4"/>
  <c r="M266" i="4"/>
  <c r="M287" i="4"/>
  <c r="M342" i="4"/>
  <c r="M344" i="4"/>
  <c r="M343" i="4"/>
  <c r="M160" i="4"/>
  <c r="M139" i="4"/>
  <c r="M158" i="4"/>
  <c r="M146" i="4"/>
  <c r="M137" i="4"/>
  <c r="M148" i="4"/>
  <c r="M150" i="4"/>
  <c r="M161" i="4"/>
  <c r="M162" i="4"/>
  <c r="M73" i="4"/>
  <c r="M88" i="4"/>
  <c r="M102" i="4"/>
  <c r="M152" i="4"/>
  <c r="M83" i="4"/>
  <c r="M86" i="4"/>
  <c r="M113" i="4"/>
  <c r="M154" i="4"/>
  <c r="M79" i="4"/>
  <c r="M155" i="4"/>
  <c r="M141" i="4"/>
  <c r="M92" i="4"/>
  <c r="M107" i="4"/>
  <c r="M62" i="4"/>
  <c r="M65" i="4"/>
  <c r="M153" i="4"/>
  <c r="M103" i="4"/>
  <c r="M74" i="4"/>
  <c r="M77" i="4"/>
  <c r="M84" i="4"/>
  <c r="M109" i="4"/>
  <c r="M111" i="4"/>
  <c r="M67" i="4"/>
  <c r="M112" i="4"/>
  <c r="M151" i="4"/>
  <c r="M147" i="4"/>
  <c r="M149" i="4"/>
  <c r="M138" i="4"/>
  <c r="M91" i="4"/>
  <c r="M140" i="4"/>
  <c r="M76" i="4"/>
  <c r="M93" i="4"/>
  <c r="M95" i="4"/>
  <c r="M89" i="4"/>
  <c r="M63" i="4"/>
  <c r="M90" i="4"/>
  <c r="M68" i="4"/>
  <c r="M69" i="4"/>
  <c r="M159" i="4"/>
  <c r="M99" i="4"/>
  <c r="M114" i="4"/>
  <c r="M98" i="4"/>
  <c r="M110" i="4"/>
  <c r="M78" i="4"/>
  <c r="M106" i="4"/>
  <c r="M66" i="4"/>
  <c r="M85" i="4"/>
  <c r="M87" i="4"/>
  <c r="M72" i="4"/>
  <c r="M64" i="4"/>
  <c r="M100" i="4"/>
  <c r="M75" i="4"/>
  <c r="M115" i="4"/>
  <c r="M122" i="4"/>
  <c r="M101" i="4"/>
  <c r="M94" i="4"/>
  <c r="M108" i="4"/>
  <c r="L117" i="4"/>
  <c r="M24" i="4"/>
  <c r="M23" i="4"/>
  <c r="M50" i="4"/>
  <c r="M34" i="4"/>
  <c r="M17" i="4"/>
  <c r="M39" i="4"/>
  <c r="M22" i="4"/>
  <c r="M32" i="4"/>
  <c r="M15" i="4"/>
  <c r="M13" i="4"/>
  <c r="M19" i="4"/>
  <c r="M18" i="4"/>
  <c r="M31" i="4"/>
  <c r="M35" i="4"/>
  <c r="M21" i="4"/>
  <c r="M26" i="4"/>
  <c r="M33" i="4"/>
  <c r="M38" i="4"/>
  <c r="M14" i="4"/>
  <c r="M27" i="4"/>
  <c r="M16" i="4"/>
  <c r="M36" i="4"/>
  <c r="M51" i="4"/>
  <c r="M30" i="4"/>
  <c r="M37" i="4"/>
  <c r="M20" i="4"/>
  <c r="M25" i="4"/>
  <c r="L41" i="4"/>
  <c r="AH16" i="27"/>
  <c r="AH17" i="27"/>
  <c r="AL4" i="27"/>
  <c r="AH13" i="27"/>
  <c r="AH18" i="27"/>
  <c r="AH15" i="27"/>
  <c r="AI3" i="27"/>
  <c r="AI14" i="27" s="1"/>
  <c r="AJ2" i="27"/>
  <c r="L227" i="4"/>
  <c r="L206" i="4"/>
  <c r="L164" i="4"/>
  <c r="O2" i="4"/>
  <c r="N3" i="4"/>
  <c r="N364" i="4" s="1"/>
  <c r="M248" i="4" l="1"/>
  <c r="M311" i="4"/>
  <c r="M143" i="4"/>
  <c r="M290" i="4"/>
  <c r="M332" i="4"/>
  <c r="M206" i="4"/>
  <c r="M269" i="4"/>
  <c r="N377" i="4"/>
  <c r="O374" i="4"/>
  <c r="M369" i="4"/>
  <c r="N134" i="4"/>
  <c r="N132" i="4"/>
  <c r="N130" i="4"/>
  <c r="N128" i="4"/>
  <c r="N127" i="4"/>
  <c r="N337" i="4"/>
  <c r="N131" i="4"/>
  <c r="N126" i="4"/>
  <c r="N129" i="4"/>
  <c r="N133" i="4"/>
  <c r="N125" i="4"/>
  <c r="N356" i="4"/>
  <c r="N358" i="4" s="1"/>
  <c r="N182" i="4"/>
  <c r="N174" i="4"/>
  <c r="N329" i="4"/>
  <c r="N319" i="4"/>
  <c r="N328" i="4"/>
  <c r="N326" i="4"/>
  <c r="N176" i="4"/>
  <c r="N180" i="4"/>
  <c r="N179" i="4"/>
  <c r="N172" i="4"/>
  <c r="N317" i="4"/>
  <c r="N169" i="4"/>
  <c r="N167" i="4"/>
  <c r="N300" i="4"/>
  <c r="N175" i="4"/>
  <c r="N170" i="4"/>
  <c r="N323" i="4"/>
  <c r="N318" i="4"/>
  <c r="N309" i="4"/>
  <c r="N305" i="4"/>
  <c r="N302" i="4"/>
  <c r="N314" i="4"/>
  <c r="N321" i="4"/>
  <c r="N293" i="4"/>
  <c r="N183" i="4"/>
  <c r="N320" i="4"/>
  <c r="N299" i="4"/>
  <c r="N296" i="4"/>
  <c r="N301" i="4"/>
  <c r="N171" i="4"/>
  <c r="N315" i="4"/>
  <c r="N306" i="4"/>
  <c r="N322" i="4"/>
  <c r="N308" i="4"/>
  <c r="N168" i="4"/>
  <c r="N327" i="4"/>
  <c r="N173" i="4"/>
  <c r="N196" i="4"/>
  <c r="N195" i="4"/>
  <c r="N298" i="4"/>
  <c r="N307" i="4"/>
  <c r="N203" i="4"/>
  <c r="N297" i="4"/>
  <c r="N188" i="4"/>
  <c r="N201" i="4"/>
  <c r="N204" i="4"/>
  <c r="N194" i="4"/>
  <c r="N193" i="4"/>
  <c r="N316" i="4"/>
  <c r="N190" i="4"/>
  <c r="N192" i="4"/>
  <c r="N200" i="4"/>
  <c r="N189" i="4"/>
  <c r="N330" i="4"/>
  <c r="N197" i="4"/>
  <c r="N202" i="4"/>
  <c r="N295" i="4"/>
  <c r="N181" i="4"/>
  <c r="N191" i="4"/>
  <c r="N294" i="4"/>
  <c r="N338" i="4"/>
  <c r="N339" i="4"/>
  <c r="N345" i="4"/>
  <c r="N340" i="4"/>
  <c r="N346" i="4"/>
  <c r="N222" i="4"/>
  <c r="N218" i="4"/>
  <c r="N223" i="4"/>
  <c r="N369" i="4"/>
  <c r="N217" i="4"/>
  <c r="N212" i="4"/>
  <c r="N209" i="4"/>
  <c r="N216" i="4"/>
  <c r="N210" i="4"/>
  <c r="N214" i="4"/>
  <c r="N211" i="4"/>
  <c r="N215" i="4"/>
  <c r="N221" i="4"/>
  <c r="N225" i="4"/>
  <c r="N224" i="4"/>
  <c r="N213" i="4"/>
  <c r="N252" i="4"/>
  <c r="N275" i="4"/>
  <c r="N286" i="4"/>
  <c r="N244" i="4"/>
  <c r="N239" i="4"/>
  <c r="N265" i="4"/>
  <c r="N274" i="4"/>
  <c r="N233" i="4"/>
  <c r="N232" i="4"/>
  <c r="N234" i="4"/>
  <c r="N256" i="4"/>
  <c r="N242" i="4"/>
  <c r="N245" i="4"/>
  <c r="N238" i="4"/>
  <c r="N254" i="4"/>
  <c r="N259" i="4"/>
  <c r="N266" i="4"/>
  <c r="N285" i="4"/>
  <c r="N287" i="4"/>
  <c r="N277" i="4"/>
  <c r="N243" i="4"/>
  <c r="N235" i="4"/>
  <c r="N236" i="4"/>
  <c r="N276" i="4"/>
  <c r="N272" i="4"/>
  <c r="N279" i="4"/>
  <c r="N284" i="4"/>
  <c r="N231" i="4"/>
  <c r="N230" i="4"/>
  <c r="N255" i="4"/>
  <c r="N267" i="4"/>
  <c r="N251" i="4"/>
  <c r="N257" i="4"/>
  <c r="N280" i="4"/>
  <c r="N288" i="4"/>
  <c r="N237" i="4"/>
  <c r="N264" i="4"/>
  <c r="N260" i="4"/>
  <c r="N278" i="4"/>
  <c r="N246" i="4"/>
  <c r="N263" i="4"/>
  <c r="N258" i="4"/>
  <c r="N281" i="4"/>
  <c r="N273" i="4"/>
  <c r="N253" i="4"/>
  <c r="N342" i="4"/>
  <c r="N344" i="4"/>
  <c r="N343" i="4"/>
  <c r="M117" i="4"/>
  <c r="N161" i="4"/>
  <c r="N140" i="4"/>
  <c r="N159" i="4"/>
  <c r="N138" i="4"/>
  <c r="N152" i="4"/>
  <c r="N154" i="4"/>
  <c r="N122" i="4"/>
  <c r="N160" i="4"/>
  <c r="N155" i="4"/>
  <c r="N74" i="4"/>
  <c r="N89" i="4"/>
  <c r="N103" i="4"/>
  <c r="N139" i="4"/>
  <c r="N146" i="4"/>
  <c r="N114" i="4"/>
  <c r="N158" i="4"/>
  <c r="N72" i="4"/>
  <c r="N76" i="4"/>
  <c r="N83" i="4"/>
  <c r="N94" i="4"/>
  <c r="N109" i="4"/>
  <c r="N141" i="4"/>
  <c r="N92" i="4"/>
  <c r="N107" i="4"/>
  <c r="N62" i="4"/>
  <c r="N65" i="4"/>
  <c r="N110" i="4"/>
  <c r="N115" i="4"/>
  <c r="N64" i="4"/>
  <c r="N69" i="4"/>
  <c r="N77" i="4"/>
  <c r="N84" i="4"/>
  <c r="N111" i="4"/>
  <c r="N67" i="4"/>
  <c r="N153" i="4"/>
  <c r="N162" i="4"/>
  <c r="N148" i="4"/>
  <c r="N150" i="4"/>
  <c r="N137" i="4"/>
  <c r="N73" i="4"/>
  <c r="N88" i="4"/>
  <c r="N90" i="4"/>
  <c r="N147" i="4"/>
  <c r="N149" i="4"/>
  <c r="N91" i="4"/>
  <c r="N113" i="4"/>
  <c r="N108" i="4"/>
  <c r="N95" i="4"/>
  <c r="N102" i="4"/>
  <c r="N63" i="4"/>
  <c r="N68" i="4"/>
  <c r="N98" i="4"/>
  <c r="N99" i="4"/>
  <c r="N78" i="4"/>
  <c r="N106" i="4"/>
  <c r="N66" i="4"/>
  <c r="N79" i="4"/>
  <c r="N86" i="4"/>
  <c r="N93" i="4"/>
  <c r="N100" i="4"/>
  <c r="N112" i="4"/>
  <c r="N151" i="4"/>
  <c r="N75" i="4"/>
  <c r="N85" i="4"/>
  <c r="N87" i="4"/>
  <c r="N101" i="4"/>
  <c r="M41" i="4"/>
  <c r="M53" i="4"/>
  <c r="N30" i="4"/>
  <c r="N13" i="4"/>
  <c r="N25" i="4"/>
  <c r="N24" i="4"/>
  <c r="N50" i="4"/>
  <c r="N26" i="4"/>
  <c r="N34" i="4"/>
  <c r="N17" i="4"/>
  <c r="N39" i="4"/>
  <c r="N22" i="4"/>
  <c r="N37" i="4"/>
  <c r="N14" i="4"/>
  <c r="N19" i="4"/>
  <c r="N36" i="4"/>
  <c r="N35" i="4"/>
  <c r="N18" i="4"/>
  <c r="N31" i="4"/>
  <c r="N32" i="4"/>
  <c r="N21" i="4"/>
  <c r="N33" i="4"/>
  <c r="N38" i="4"/>
  <c r="N15" i="4"/>
  <c r="N27" i="4"/>
  <c r="N16" i="4"/>
  <c r="N23" i="4"/>
  <c r="N20" i="4"/>
  <c r="N51" i="4"/>
  <c r="AI17" i="27"/>
  <c r="AI16" i="27"/>
  <c r="AM4" i="27"/>
  <c r="AI13" i="27"/>
  <c r="AI18" i="27"/>
  <c r="AI15" i="27"/>
  <c r="AJ3" i="27"/>
  <c r="AJ14" i="27" s="1"/>
  <c r="AK2" i="27"/>
  <c r="M227" i="4"/>
  <c r="M185" i="4"/>
  <c r="M164" i="4"/>
  <c r="P2" i="4"/>
  <c r="O3" i="4"/>
  <c r="O364" i="4" s="1"/>
  <c r="N248" i="4" l="1"/>
  <c r="N227" i="4"/>
  <c r="N311" i="4"/>
  <c r="N332" i="4"/>
  <c r="N290" i="4"/>
  <c r="N143" i="4"/>
  <c r="N269" i="4"/>
  <c r="P375" i="4"/>
  <c r="P374" i="4"/>
  <c r="O125" i="4"/>
  <c r="O131" i="4"/>
  <c r="O138" i="4"/>
  <c r="O126" i="4"/>
  <c r="O134" i="4"/>
  <c r="O132" i="4"/>
  <c r="O337" i="4"/>
  <c r="O129" i="4"/>
  <c r="O130" i="4"/>
  <c r="O133" i="4"/>
  <c r="O127" i="4"/>
  <c r="O128" i="4"/>
  <c r="O356" i="4"/>
  <c r="O358" i="4" s="1"/>
  <c r="O173" i="4"/>
  <c r="O318" i="4"/>
  <c r="O176" i="4"/>
  <c r="O167" i="4"/>
  <c r="O327" i="4"/>
  <c r="O171" i="4"/>
  <c r="O181" i="4"/>
  <c r="O182" i="4"/>
  <c r="O180" i="4"/>
  <c r="O319" i="4"/>
  <c r="O330" i="4"/>
  <c r="O175" i="4"/>
  <c r="O174" i="4"/>
  <c r="O320" i="4"/>
  <c r="O322" i="4"/>
  <c r="O323" i="4"/>
  <c r="O316" i="4"/>
  <c r="O328" i="4"/>
  <c r="O294" i="4"/>
  <c r="O307" i="4"/>
  <c r="O169" i="4"/>
  <c r="O315" i="4"/>
  <c r="O172" i="4"/>
  <c r="O326" i="4"/>
  <c r="O321" i="4"/>
  <c r="O296" i="4"/>
  <c r="O210" i="4"/>
  <c r="O302" i="4"/>
  <c r="O213" i="4"/>
  <c r="O222" i="4"/>
  <c r="O170" i="4"/>
  <c r="O329" i="4"/>
  <c r="O297" i="4"/>
  <c r="O298" i="4"/>
  <c r="O217" i="4"/>
  <c r="O179" i="4"/>
  <c r="O306" i="4"/>
  <c r="O211" i="4"/>
  <c r="O223" i="4"/>
  <c r="O301" i="4"/>
  <c r="O305" i="4"/>
  <c r="O197" i="4"/>
  <c r="O189" i="4"/>
  <c r="O209" i="4"/>
  <c r="O194" i="4"/>
  <c r="O299" i="4"/>
  <c r="O168" i="4"/>
  <c r="O212" i="4"/>
  <c r="O201" i="4"/>
  <c r="O200" i="4"/>
  <c r="O203" i="4"/>
  <c r="O309" i="4"/>
  <c r="O196" i="4"/>
  <c r="O195" i="4"/>
  <c r="O293" i="4"/>
  <c r="O193" i="4"/>
  <c r="O317" i="4"/>
  <c r="O221" i="4"/>
  <c r="O190" i="4"/>
  <c r="O225" i="4"/>
  <c r="O188" i="4"/>
  <c r="O192" i="4"/>
  <c r="O300" i="4"/>
  <c r="O215" i="4"/>
  <c r="O191" i="4"/>
  <c r="O214" i="4"/>
  <c r="O216" i="4"/>
  <c r="O204" i="4"/>
  <c r="O314" i="4"/>
  <c r="O202" i="4"/>
  <c r="O218" i="4"/>
  <c r="O308" i="4"/>
  <c r="O224" i="4"/>
  <c r="O295" i="4"/>
  <c r="O183" i="4"/>
  <c r="O346" i="4"/>
  <c r="O345" i="4"/>
  <c r="O341" i="4"/>
  <c r="O338" i="4"/>
  <c r="O339" i="4"/>
  <c r="O340" i="4"/>
  <c r="O280" i="4"/>
  <c r="O256" i="4"/>
  <c r="O257" i="4"/>
  <c r="O264" i="4"/>
  <c r="O285" i="4"/>
  <c r="O286" i="4"/>
  <c r="O288" i="4"/>
  <c r="O252" i="4"/>
  <c r="O279" i="4"/>
  <c r="O237" i="4"/>
  <c r="O259" i="4"/>
  <c r="O254" i="4"/>
  <c r="O253" i="4"/>
  <c r="O287" i="4"/>
  <c r="O238" i="4"/>
  <c r="O265" i="4"/>
  <c r="O276" i="4"/>
  <c r="O275" i="4"/>
  <c r="O242" i="4"/>
  <c r="O235" i="4"/>
  <c r="O232" i="4"/>
  <c r="O234" i="4"/>
  <c r="O281" i="4"/>
  <c r="O277" i="4"/>
  <c r="O284" i="4"/>
  <c r="O266" i="4"/>
  <c r="O258" i="4"/>
  <c r="O260" i="4"/>
  <c r="O251" i="4"/>
  <c r="O272" i="4"/>
  <c r="O236" i="4"/>
  <c r="O255" i="4"/>
  <c r="O263" i="4"/>
  <c r="O274" i="4"/>
  <c r="O278" i="4"/>
  <c r="O267" i="4"/>
  <c r="O233" i="4"/>
  <c r="O273" i="4"/>
  <c r="O344" i="4"/>
  <c r="O343" i="4"/>
  <c r="O230" i="4"/>
  <c r="O239" i="4"/>
  <c r="O244" i="4"/>
  <c r="O243" i="4"/>
  <c r="O245" i="4"/>
  <c r="O246" i="4"/>
  <c r="O231" i="4"/>
  <c r="N117" i="4"/>
  <c r="O162" i="4"/>
  <c r="O141" i="4"/>
  <c r="O160" i="4"/>
  <c r="O139" i="4"/>
  <c r="O158" i="4"/>
  <c r="O146" i="4"/>
  <c r="O137" i="4"/>
  <c r="O161" i="4"/>
  <c r="O154" i="4"/>
  <c r="O75" i="4"/>
  <c r="O90" i="4"/>
  <c r="O106" i="4"/>
  <c r="O151" i="4"/>
  <c r="O109" i="4"/>
  <c r="O115" i="4"/>
  <c r="O62" i="4"/>
  <c r="O122" i="4"/>
  <c r="O152" i="4"/>
  <c r="O85" i="4"/>
  <c r="O98" i="4"/>
  <c r="O66" i="4"/>
  <c r="O155" i="4"/>
  <c r="O72" i="4"/>
  <c r="O76" i="4"/>
  <c r="O83" i="4"/>
  <c r="O94" i="4"/>
  <c r="O108" i="4"/>
  <c r="O111" i="4"/>
  <c r="O74" i="4"/>
  <c r="O110" i="4"/>
  <c r="O64" i="4"/>
  <c r="O69" i="4"/>
  <c r="O77" i="4"/>
  <c r="O84" i="4"/>
  <c r="O89" i="4"/>
  <c r="O112" i="4"/>
  <c r="O148" i="4"/>
  <c r="O150" i="4"/>
  <c r="O73" i="4"/>
  <c r="O88" i="4"/>
  <c r="O92" i="4"/>
  <c r="O101" i="4"/>
  <c r="O113" i="4"/>
  <c r="O65" i="4"/>
  <c r="O95" i="4"/>
  <c r="O102" i="4"/>
  <c r="O63" i="4"/>
  <c r="O147" i="4"/>
  <c r="O91" i="4"/>
  <c r="O159" i="4"/>
  <c r="O103" i="4"/>
  <c r="O68" i="4"/>
  <c r="O114" i="4"/>
  <c r="O67" i="4"/>
  <c r="O79" i="4"/>
  <c r="O99" i="4"/>
  <c r="O140" i="4"/>
  <c r="O78" i="4"/>
  <c r="O86" i="4"/>
  <c r="O93" i="4"/>
  <c r="O100" i="4"/>
  <c r="O107" i="4"/>
  <c r="O149" i="4"/>
  <c r="O153" i="4"/>
  <c r="O87" i="4"/>
  <c r="N53" i="4"/>
  <c r="N41" i="4"/>
  <c r="O31" i="4"/>
  <c r="O14" i="4"/>
  <c r="O26" i="4"/>
  <c r="O30" i="4"/>
  <c r="O13" i="4"/>
  <c r="O25" i="4"/>
  <c r="O36" i="4"/>
  <c r="O19" i="4"/>
  <c r="O50" i="4"/>
  <c r="O24" i="4"/>
  <c r="O34" i="4"/>
  <c r="O17" i="4"/>
  <c r="O32" i="4"/>
  <c r="O38" i="4"/>
  <c r="O37" i="4"/>
  <c r="O23" i="4"/>
  <c r="O51" i="4"/>
  <c r="O18" i="4"/>
  <c r="O21" i="4"/>
  <c r="O35" i="4"/>
  <c r="O33" i="4"/>
  <c r="O39" i="4"/>
  <c r="O15" i="4"/>
  <c r="O22" i="4"/>
  <c r="O27" i="4"/>
  <c r="O16" i="4"/>
  <c r="O20" i="4"/>
  <c r="AJ17" i="27"/>
  <c r="AJ16" i="27"/>
  <c r="AN4" i="27"/>
  <c r="AJ13" i="27"/>
  <c r="AJ15" i="27"/>
  <c r="AJ18" i="27"/>
  <c r="AL2" i="27"/>
  <c r="AK3" i="27"/>
  <c r="AK14" i="27" s="1"/>
  <c r="N206" i="4"/>
  <c r="N185" i="4"/>
  <c r="N164" i="4"/>
  <c r="Q2" i="4"/>
  <c r="P3" i="4"/>
  <c r="P364" i="4" s="1"/>
  <c r="O248" i="4" l="1"/>
  <c r="O269" i="4"/>
  <c r="P377" i="4"/>
  <c r="O332" i="4"/>
  <c r="O311" i="4"/>
  <c r="O143" i="4"/>
  <c r="O290" i="4"/>
  <c r="Q375" i="4"/>
  <c r="Q374" i="4"/>
  <c r="O53" i="4"/>
  <c r="O369" i="4"/>
  <c r="P134" i="4"/>
  <c r="P125" i="4"/>
  <c r="P131" i="4"/>
  <c r="P133" i="4"/>
  <c r="P127" i="4"/>
  <c r="P129" i="4"/>
  <c r="P132" i="4"/>
  <c r="P126" i="4"/>
  <c r="P130" i="4"/>
  <c r="P128" i="4"/>
  <c r="P337" i="4"/>
  <c r="P356" i="4"/>
  <c r="P358" i="4" s="1"/>
  <c r="P171" i="4"/>
  <c r="P180" i="4"/>
  <c r="P317" i="4"/>
  <c r="P183" i="4"/>
  <c r="P314" i="4"/>
  <c r="P319" i="4"/>
  <c r="P315" i="4"/>
  <c r="P174" i="4"/>
  <c r="P173" i="4"/>
  <c r="P320" i="4"/>
  <c r="P330" i="4"/>
  <c r="P181" i="4"/>
  <c r="P327" i="4"/>
  <c r="P179" i="4"/>
  <c r="P322" i="4"/>
  <c r="P170" i="4"/>
  <c r="P300" i="4"/>
  <c r="P295" i="4"/>
  <c r="P223" i="4"/>
  <c r="P168" i="4"/>
  <c r="P323" i="4"/>
  <c r="P305" i="4"/>
  <c r="P297" i="4"/>
  <c r="P302" i="4"/>
  <c r="P326" i="4"/>
  <c r="P176" i="4"/>
  <c r="P175" i="4"/>
  <c r="P318" i="4"/>
  <c r="P218" i="4"/>
  <c r="P213" i="4"/>
  <c r="P209" i="4"/>
  <c r="P182" i="4"/>
  <c r="P294" i="4"/>
  <c r="P225" i="4"/>
  <c r="P329" i="4"/>
  <c r="P328" i="4"/>
  <c r="P316" i="4"/>
  <c r="P308" i="4"/>
  <c r="P321" i="4"/>
  <c r="P306" i="4"/>
  <c r="P221" i="4"/>
  <c r="P215" i="4"/>
  <c r="P222" i="4"/>
  <c r="P214" i="4"/>
  <c r="P188" i="4"/>
  <c r="P192" i="4"/>
  <c r="P201" i="4"/>
  <c r="P195" i="4"/>
  <c r="P194" i="4"/>
  <c r="P212" i="4"/>
  <c r="P216" i="4"/>
  <c r="P210" i="4"/>
  <c r="P193" i="4"/>
  <c r="P167" i="4"/>
  <c r="P169" i="4"/>
  <c r="P296" i="4"/>
  <c r="P217" i="4"/>
  <c r="P200" i="4"/>
  <c r="P196" i="4"/>
  <c r="P298" i="4"/>
  <c r="P191" i="4"/>
  <c r="P202" i="4"/>
  <c r="P204" i="4"/>
  <c r="P299" i="4"/>
  <c r="P224" i="4"/>
  <c r="P211" i="4"/>
  <c r="P190" i="4"/>
  <c r="P203" i="4"/>
  <c r="P301" i="4"/>
  <c r="P293" i="4"/>
  <c r="P189" i="4"/>
  <c r="P307" i="4"/>
  <c r="P172" i="4"/>
  <c r="P309" i="4"/>
  <c r="P197" i="4"/>
  <c r="P338" i="4"/>
  <c r="P340" i="4"/>
  <c r="P341" i="4"/>
  <c r="P345" i="4"/>
  <c r="P346" i="4"/>
  <c r="P339" i="4"/>
  <c r="P369" i="4"/>
  <c r="P243" i="4"/>
  <c r="P244" i="4"/>
  <c r="P238" i="4"/>
  <c r="P236" i="4"/>
  <c r="P276" i="4"/>
  <c r="P239" i="4"/>
  <c r="P230" i="4"/>
  <c r="P252" i="4"/>
  <c r="P257" i="4"/>
  <c r="P275" i="4"/>
  <c r="P259" i="4"/>
  <c r="P245" i="4"/>
  <c r="P237" i="4"/>
  <c r="P256" i="4"/>
  <c r="P285" i="4"/>
  <c r="P284" i="4"/>
  <c r="P277" i="4"/>
  <c r="P281" i="4"/>
  <c r="P280" i="4"/>
  <c r="P286" i="4"/>
  <c r="P288" i="4"/>
  <c r="P272" i="4"/>
  <c r="P232" i="4"/>
  <c r="P253" i="4"/>
  <c r="P274" i="4"/>
  <c r="P246" i="4"/>
  <c r="P278" i="4"/>
  <c r="P231" i="4"/>
  <c r="P258" i="4"/>
  <c r="P254" i="4"/>
  <c r="P234" i="4"/>
  <c r="P287" i="4"/>
  <c r="P255" i="4"/>
  <c r="P273" i="4"/>
  <c r="P242" i="4"/>
  <c r="P235" i="4"/>
  <c r="P233" i="4"/>
  <c r="P279" i="4"/>
  <c r="P342" i="4"/>
  <c r="P344" i="4"/>
  <c r="P265" i="4"/>
  <c r="P260" i="4"/>
  <c r="P251" i="4"/>
  <c r="P266" i="4"/>
  <c r="P263" i="4"/>
  <c r="P267" i="4"/>
  <c r="P264" i="4"/>
  <c r="O117" i="4"/>
  <c r="P161" i="4"/>
  <c r="P140" i="4"/>
  <c r="P148" i="4"/>
  <c r="P150" i="4"/>
  <c r="P158" i="4"/>
  <c r="P159" i="4"/>
  <c r="P153" i="4"/>
  <c r="P76" i="4"/>
  <c r="P91" i="4"/>
  <c r="P107" i="4"/>
  <c r="P146" i="4"/>
  <c r="P149" i="4"/>
  <c r="P78" i="4"/>
  <c r="P73" i="4"/>
  <c r="P93" i="4"/>
  <c r="P98" i="4"/>
  <c r="P101" i="4"/>
  <c r="P106" i="4"/>
  <c r="P63" i="4"/>
  <c r="P84" i="4"/>
  <c r="P154" i="4"/>
  <c r="P122" i="4"/>
  <c r="P139" i="4"/>
  <c r="P87" i="4"/>
  <c r="P111" i="4"/>
  <c r="P114" i="4"/>
  <c r="P67" i="4"/>
  <c r="P85" i="4"/>
  <c r="P109" i="4"/>
  <c r="P66" i="4"/>
  <c r="P110" i="4"/>
  <c r="P108" i="4"/>
  <c r="P115" i="4"/>
  <c r="P155" i="4"/>
  <c r="P74" i="4"/>
  <c r="P151" i="4"/>
  <c r="P152" i="4"/>
  <c r="P65" i="4"/>
  <c r="P162" i="4"/>
  <c r="P137" i="4"/>
  <c r="P138" i="4"/>
  <c r="P89" i="4"/>
  <c r="P90" i="4"/>
  <c r="P112" i="4"/>
  <c r="P94" i="4"/>
  <c r="P113" i="4"/>
  <c r="P141" i="4"/>
  <c r="P95" i="4"/>
  <c r="P69" i="4"/>
  <c r="P103" i="4"/>
  <c r="P68" i="4"/>
  <c r="P147" i="4"/>
  <c r="P102" i="4"/>
  <c r="P160" i="4"/>
  <c r="P83" i="4"/>
  <c r="P92" i="4"/>
  <c r="P62" i="4"/>
  <c r="P99" i="4"/>
  <c r="P72" i="4"/>
  <c r="P77" i="4"/>
  <c r="P79" i="4"/>
  <c r="P64" i="4"/>
  <c r="P75" i="4"/>
  <c r="P86" i="4"/>
  <c r="P88" i="4"/>
  <c r="P100" i="4"/>
  <c r="P32" i="4"/>
  <c r="P15" i="4"/>
  <c r="P27" i="4"/>
  <c r="P31" i="4"/>
  <c r="P14" i="4"/>
  <c r="P26" i="4"/>
  <c r="P36" i="4"/>
  <c r="P19" i="4"/>
  <c r="P50" i="4"/>
  <c r="P24" i="4"/>
  <c r="P33" i="4"/>
  <c r="P25" i="4"/>
  <c r="P38" i="4"/>
  <c r="P13" i="4"/>
  <c r="P30" i="4"/>
  <c r="P18" i="4"/>
  <c r="P17" i="4"/>
  <c r="P37" i="4"/>
  <c r="P51" i="4"/>
  <c r="P22" i="4"/>
  <c r="P34" i="4"/>
  <c r="P21" i="4"/>
  <c r="P39" i="4"/>
  <c r="P20" i="4"/>
  <c r="P23" i="4"/>
  <c r="P16" i="4"/>
  <c r="P35" i="4"/>
  <c r="O41" i="4"/>
  <c r="AK17" i="27"/>
  <c r="AK16" i="27"/>
  <c r="AK13" i="27"/>
  <c r="AK15" i="27"/>
  <c r="AK18" i="27"/>
  <c r="AL3" i="27"/>
  <c r="AL14" i="27" s="1"/>
  <c r="AM2" i="27"/>
  <c r="O227" i="4"/>
  <c r="O206" i="4"/>
  <c r="O185" i="4"/>
  <c r="O164" i="4"/>
  <c r="R2" i="4"/>
  <c r="Q3" i="4"/>
  <c r="Q364" i="4" s="1"/>
  <c r="P311" i="4" l="1"/>
  <c r="P143" i="4"/>
  <c r="P332" i="4"/>
  <c r="P290" i="4"/>
  <c r="P269" i="4"/>
  <c r="P248" i="4"/>
  <c r="Q377" i="4"/>
  <c r="R375" i="4"/>
  <c r="R374" i="4"/>
  <c r="P53" i="4"/>
  <c r="Q130" i="4"/>
  <c r="Q126" i="4"/>
  <c r="Q337" i="4"/>
  <c r="Q133" i="4"/>
  <c r="Q132" i="4"/>
  <c r="Q127" i="4"/>
  <c r="Q125" i="4"/>
  <c r="Q131" i="4"/>
  <c r="Q134" i="4"/>
  <c r="Q128" i="4"/>
  <c r="Q129" i="4"/>
  <c r="Q356" i="4"/>
  <c r="Q358" i="4" s="1"/>
  <c r="Q183" i="4"/>
  <c r="Q167" i="4"/>
  <c r="Q316" i="4"/>
  <c r="Q168" i="4"/>
  <c r="Q170" i="4"/>
  <c r="Q182" i="4"/>
  <c r="Q176" i="4"/>
  <c r="Q171" i="4"/>
  <c r="Q181" i="4"/>
  <c r="Q322" i="4"/>
  <c r="Q326" i="4"/>
  <c r="Q318" i="4"/>
  <c r="Q329" i="4"/>
  <c r="Q321" i="4"/>
  <c r="Q315" i="4"/>
  <c r="Q314" i="4"/>
  <c r="Q301" i="4"/>
  <c r="Q296" i="4"/>
  <c r="Q305" i="4"/>
  <c r="Q173" i="4"/>
  <c r="Q299" i="4"/>
  <c r="Q308" i="4"/>
  <c r="Q169" i="4"/>
  <c r="Q175" i="4"/>
  <c r="Q317" i="4"/>
  <c r="Q297" i="4"/>
  <c r="Q328" i="4"/>
  <c r="Q320" i="4"/>
  <c r="Q294" i="4"/>
  <c r="Q293" i="4"/>
  <c r="Q214" i="4"/>
  <c r="Q217" i="4"/>
  <c r="Q189" i="4"/>
  <c r="Q298" i="4"/>
  <c r="Q224" i="4"/>
  <c r="Q179" i="4"/>
  <c r="Q180" i="4"/>
  <c r="Q319" i="4"/>
  <c r="Q174" i="4"/>
  <c r="Q222" i="4"/>
  <c r="Q330" i="4"/>
  <c r="Q215" i="4"/>
  <c r="Q323" i="4"/>
  <c r="Q302" i="4"/>
  <c r="Q213" i="4"/>
  <c r="Q212" i="4"/>
  <c r="Q201" i="4"/>
  <c r="Q192" i="4"/>
  <c r="Q202" i="4"/>
  <c r="Q197" i="4"/>
  <c r="Q295" i="4"/>
  <c r="Q223" i="4"/>
  <c r="Q327" i="4"/>
  <c r="Q300" i="4"/>
  <c r="Q221" i="4"/>
  <c r="Q195" i="4"/>
  <c r="Q194" i="4"/>
  <c r="Q309" i="4"/>
  <c r="Q209" i="4"/>
  <c r="Q204" i="4"/>
  <c r="Q218" i="4"/>
  <c r="Q210" i="4"/>
  <c r="Q200" i="4"/>
  <c r="Q306" i="4"/>
  <c r="Q188" i="4"/>
  <c r="Q216" i="4"/>
  <c r="Q307" i="4"/>
  <c r="Q190" i="4"/>
  <c r="Q191" i="4"/>
  <c r="Q225" i="4"/>
  <c r="Q203" i="4"/>
  <c r="Q196" i="4"/>
  <c r="Q172" i="4"/>
  <c r="Q211" i="4"/>
  <c r="Q193" i="4"/>
  <c r="Q340" i="4"/>
  <c r="Q345" i="4"/>
  <c r="Q339" i="4"/>
  <c r="Q338" i="4"/>
  <c r="Q346" i="4"/>
  <c r="Q341" i="4"/>
  <c r="Q231" i="4"/>
  <c r="Q243" i="4"/>
  <c r="Q233" i="4"/>
  <c r="Q255" i="4"/>
  <c r="Q263" i="4"/>
  <c r="Q277" i="4"/>
  <c r="Q257" i="4"/>
  <c r="Q275" i="4"/>
  <c r="Q234" i="4"/>
  <c r="Q238" i="4"/>
  <c r="Q245" i="4"/>
  <c r="Q232" i="4"/>
  <c r="Q236" i="4"/>
  <c r="Q252" i="4"/>
  <c r="Q256" i="4"/>
  <c r="Q280" i="4"/>
  <c r="Q278" i="4"/>
  <c r="Q276" i="4"/>
  <c r="Q258" i="4"/>
  <c r="Q235" i="4"/>
  <c r="Q264" i="4"/>
  <c r="Q251" i="4"/>
  <c r="Q242" i="4"/>
  <c r="Q253" i="4"/>
  <c r="Q259" i="4"/>
  <c r="Q246" i="4"/>
  <c r="Q274" i="4"/>
  <c r="Q237" i="4"/>
  <c r="Q239" i="4"/>
  <c r="Q230" i="4"/>
  <c r="Q279" i="4"/>
  <c r="Q260" i="4"/>
  <c r="Q254" i="4"/>
  <c r="Q267" i="4"/>
  <c r="Q244" i="4"/>
  <c r="Q266" i="4"/>
  <c r="Q265" i="4"/>
  <c r="Q343" i="4"/>
  <c r="Q342" i="4"/>
  <c r="Q273" i="4"/>
  <c r="Q288" i="4"/>
  <c r="Q284" i="4"/>
  <c r="Q281" i="4"/>
  <c r="Q272" i="4"/>
  <c r="Q287" i="4"/>
  <c r="Q286" i="4"/>
  <c r="Q285" i="4"/>
  <c r="Q162" i="4"/>
  <c r="Q141" i="4"/>
  <c r="Q160" i="4"/>
  <c r="Q139" i="4"/>
  <c r="Q152" i="4"/>
  <c r="Q154" i="4"/>
  <c r="Q77" i="4"/>
  <c r="Q92" i="4"/>
  <c r="Q108" i="4"/>
  <c r="Q155" i="4"/>
  <c r="Q137" i="4"/>
  <c r="Q72" i="4"/>
  <c r="Q75" i="4"/>
  <c r="Q149" i="4"/>
  <c r="Q146" i="4"/>
  <c r="Q84" i="4"/>
  <c r="Q87" i="4"/>
  <c r="Q90" i="4"/>
  <c r="Q64" i="4"/>
  <c r="Q159" i="4"/>
  <c r="Q147" i="4"/>
  <c r="Q74" i="4"/>
  <c r="Q78" i="4"/>
  <c r="Q158" i="4"/>
  <c r="Q148" i="4"/>
  <c r="Q150" i="4"/>
  <c r="Q79" i="4"/>
  <c r="Q100" i="4"/>
  <c r="Q68" i="4"/>
  <c r="Q98" i="4"/>
  <c r="Q111" i="4"/>
  <c r="Q114" i="4"/>
  <c r="Q67" i="4"/>
  <c r="Q85" i="4"/>
  <c r="Q102" i="4"/>
  <c r="Q106" i="4"/>
  <c r="Q107" i="4"/>
  <c r="Q63" i="4"/>
  <c r="Q115" i="4"/>
  <c r="Q109" i="4"/>
  <c r="Q153" i="4"/>
  <c r="Q83" i="4"/>
  <c r="Q151" i="4"/>
  <c r="Q65" i="4"/>
  <c r="Q122" i="4"/>
  <c r="Q86" i="4"/>
  <c r="Q88" i="4"/>
  <c r="Q89" i="4"/>
  <c r="Q94" i="4"/>
  <c r="Q101" i="4"/>
  <c r="Q113" i="4"/>
  <c r="Q161" i="4"/>
  <c r="Q69" i="4"/>
  <c r="Q138" i="4"/>
  <c r="Q110" i="4"/>
  <c r="Q95" i="4"/>
  <c r="Q76" i="4"/>
  <c r="Q62" i="4"/>
  <c r="Q99" i="4"/>
  <c r="Q66" i="4"/>
  <c r="Q91" i="4"/>
  <c r="Q103" i="4"/>
  <c r="Q112" i="4"/>
  <c r="Q73" i="4"/>
  <c r="Q93" i="4"/>
  <c r="Q140" i="4"/>
  <c r="P117" i="4"/>
  <c r="Q33" i="4"/>
  <c r="Q16" i="4"/>
  <c r="Q32" i="4"/>
  <c r="Q15" i="4"/>
  <c r="Q27" i="4"/>
  <c r="Q38" i="4"/>
  <c r="Q21" i="4"/>
  <c r="Q19" i="4"/>
  <c r="Q50" i="4"/>
  <c r="Q26" i="4"/>
  <c r="Q36" i="4"/>
  <c r="Q51" i="4"/>
  <c r="Q20" i="4"/>
  <c r="Q14" i="4"/>
  <c r="Q25" i="4"/>
  <c r="Q31" i="4"/>
  <c r="Q30" i="4"/>
  <c r="Q13" i="4"/>
  <c r="Q23" i="4"/>
  <c r="Q37" i="4"/>
  <c r="Q18" i="4"/>
  <c r="Q24" i="4"/>
  <c r="Q39" i="4"/>
  <c r="Q34" i="4"/>
  <c r="Q17" i="4"/>
  <c r="Q35" i="4"/>
  <c r="Q22" i="4"/>
  <c r="P41" i="4"/>
  <c r="AL17" i="27"/>
  <c r="AL16" i="27"/>
  <c r="AL13" i="27"/>
  <c r="AL15" i="27"/>
  <c r="AL18" i="27"/>
  <c r="AM3" i="27"/>
  <c r="AM14" i="27" s="1"/>
  <c r="AN2" i="27"/>
  <c r="P227" i="4"/>
  <c r="P206" i="4"/>
  <c r="P185" i="4"/>
  <c r="P164" i="4"/>
  <c r="S2" i="4"/>
  <c r="R3" i="4"/>
  <c r="R364" i="4" s="1"/>
  <c r="R377" i="4" l="1"/>
  <c r="Q269" i="4"/>
  <c r="Q311" i="4"/>
  <c r="Q290" i="4"/>
  <c r="Q332" i="4"/>
  <c r="Q143" i="4"/>
  <c r="Q248" i="4"/>
  <c r="S375" i="4"/>
  <c r="S374" i="4"/>
  <c r="R132" i="4"/>
  <c r="R125" i="4"/>
  <c r="R134" i="4"/>
  <c r="R129" i="4"/>
  <c r="R133" i="4"/>
  <c r="R126" i="4"/>
  <c r="R131" i="4"/>
  <c r="R127" i="4"/>
  <c r="R337" i="4"/>
  <c r="R130" i="4"/>
  <c r="R128" i="4"/>
  <c r="R356" i="4"/>
  <c r="R358" i="4" s="1"/>
  <c r="R320" i="4"/>
  <c r="R180" i="4"/>
  <c r="R170" i="4"/>
  <c r="R183" i="4"/>
  <c r="R167" i="4"/>
  <c r="R179" i="4"/>
  <c r="R316" i="4"/>
  <c r="R323" i="4"/>
  <c r="R322" i="4"/>
  <c r="R175" i="4"/>
  <c r="R176" i="4"/>
  <c r="R321" i="4"/>
  <c r="R328" i="4"/>
  <c r="R319" i="4"/>
  <c r="R326" i="4"/>
  <c r="R330" i="4"/>
  <c r="R327" i="4"/>
  <c r="R173" i="4"/>
  <c r="R329" i="4"/>
  <c r="R171" i="4"/>
  <c r="R209" i="4"/>
  <c r="R168" i="4"/>
  <c r="R216" i="4"/>
  <c r="R221" i="4"/>
  <c r="R174" i="4"/>
  <c r="R317" i="4"/>
  <c r="R191" i="4"/>
  <c r="R190" i="4"/>
  <c r="R224" i="4"/>
  <c r="R211" i="4"/>
  <c r="R182" i="4"/>
  <c r="R210" i="4"/>
  <c r="R217" i="4"/>
  <c r="R188" i="4"/>
  <c r="R318" i="4"/>
  <c r="R314" i="4"/>
  <c r="R225" i="4"/>
  <c r="R212" i="4"/>
  <c r="R315" i="4"/>
  <c r="R218" i="4"/>
  <c r="R195" i="4"/>
  <c r="R196" i="4"/>
  <c r="R197" i="4"/>
  <c r="R223" i="4"/>
  <c r="R213" i="4"/>
  <c r="R222" i="4"/>
  <c r="R203" i="4"/>
  <c r="R169" i="4"/>
  <c r="R181" i="4"/>
  <c r="R172" i="4"/>
  <c r="R215" i="4"/>
  <c r="R204" i="4"/>
  <c r="R214" i="4"/>
  <c r="R201" i="4"/>
  <c r="R193" i="4"/>
  <c r="R202" i="4"/>
  <c r="R194" i="4"/>
  <c r="R200" i="4"/>
  <c r="R192" i="4"/>
  <c r="R189" i="4"/>
  <c r="R339" i="4"/>
  <c r="R341" i="4"/>
  <c r="R346" i="4"/>
  <c r="R340" i="4"/>
  <c r="R338" i="4"/>
  <c r="R299" i="4"/>
  <c r="R306" i="4"/>
  <c r="R294" i="4"/>
  <c r="R309" i="4"/>
  <c r="R296" i="4"/>
  <c r="R300" i="4"/>
  <c r="R297" i="4"/>
  <c r="R369" i="4"/>
  <c r="R307" i="4"/>
  <c r="R302" i="4"/>
  <c r="R301" i="4"/>
  <c r="R298" i="4"/>
  <c r="R293" i="4"/>
  <c r="R305" i="4"/>
  <c r="R295" i="4"/>
  <c r="R308" i="4"/>
  <c r="R232" i="4"/>
  <c r="R230" i="4"/>
  <c r="R281" i="4"/>
  <c r="R243" i="4"/>
  <c r="R253" i="4"/>
  <c r="R263" i="4"/>
  <c r="R267" i="4"/>
  <c r="R251" i="4"/>
  <c r="R254" i="4"/>
  <c r="R284" i="4"/>
  <c r="R235" i="4"/>
  <c r="R252" i="4"/>
  <c r="R260" i="4"/>
  <c r="R255" i="4"/>
  <c r="R237" i="4"/>
  <c r="R234" i="4"/>
  <c r="R259" i="4"/>
  <c r="R285" i="4"/>
  <c r="R245" i="4"/>
  <c r="R273" i="4"/>
  <c r="R288" i="4"/>
  <c r="R279" i="4"/>
  <c r="R239" i="4"/>
  <c r="R272" i="4"/>
  <c r="R287" i="4"/>
  <c r="R276" i="4"/>
  <c r="R238" i="4"/>
  <c r="R231" i="4"/>
  <c r="R266" i="4"/>
  <c r="R236" i="4"/>
  <c r="R233" i="4"/>
  <c r="R256" i="4"/>
  <c r="R264" i="4"/>
  <c r="R246" i="4"/>
  <c r="R286" i="4"/>
  <c r="R257" i="4"/>
  <c r="R258" i="4"/>
  <c r="R277" i="4"/>
  <c r="R275" i="4"/>
  <c r="R244" i="4"/>
  <c r="R280" i="4"/>
  <c r="R274" i="4"/>
  <c r="R265" i="4"/>
  <c r="R278" i="4"/>
  <c r="R242" i="4"/>
  <c r="R342" i="4"/>
  <c r="R343" i="4"/>
  <c r="R344" i="4"/>
  <c r="Q369" i="4"/>
  <c r="R158" i="4"/>
  <c r="R151" i="4"/>
  <c r="R152" i="4"/>
  <c r="R137" i="4"/>
  <c r="R78" i="4"/>
  <c r="R93" i="4"/>
  <c r="R109" i="4"/>
  <c r="R162" i="4"/>
  <c r="R138" i="4"/>
  <c r="R153" i="4"/>
  <c r="R139" i="4"/>
  <c r="R75" i="4"/>
  <c r="R65" i="4"/>
  <c r="R146" i="4"/>
  <c r="R140" i="4"/>
  <c r="R86" i="4"/>
  <c r="R147" i="4"/>
  <c r="R159" i="4"/>
  <c r="R89" i="4"/>
  <c r="R102" i="4"/>
  <c r="R63" i="4"/>
  <c r="R69" i="4"/>
  <c r="R148" i="4"/>
  <c r="R150" i="4"/>
  <c r="R79" i="4"/>
  <c r="R87" i="4"/>
  <c r="R100" i="4"/>
  <c r="R68" i="4"/>
  <c r="R103" i="4"/>
  <c r="R108" i="4"/>
  <c r="R85" i="4"/>
  <c r="R106" i="4"/>
  <c r="R107" i="4"/>
  <c r="R154" i="4"/>
  <c r="R77" i="4"/>
  <c r="R110" i="4"/>
  <c r="R83" i="4"/>
  <c r="R155" i="4"/>
  <c r="R122" i="4"/>
  <c r="R88" i="4"/>
  <c r="R94" i="4"/>
  <c r="R101" i="4"/>
  <c r="R141" i="4"/>
  <c r="R90" i="4"/>
  <c r="R113" i="4"/>
  <c r="R95" i="4"/>
  <c r="R161" i="4"/>
  <c r="R73" i="4"/>
  <c r="R111" i="4"/>
  <c r="R114" i="4"/>
  <c r="R67" i="4"/>
  <c r="R76" i="4"/>
  <c r="R92" i="4"/>
  <c r="R160" i="4"/>
  <c r="R62" i="4"/>
  <c r="R98" i="4"/>
  <c r="R91" i="4"/>
  <c r="R72" i="4"/>
  <c r="R84" i="4"/>
  <c r="R64" i="4"/>
  <c r="R115" i="4"/>
  <c r="R112" i="4"/>
  <c r="R99" i="4"/>
  <c r="R66" i="4"/>
  <c r="R149" i="4"/>
  <c r="R74" i="4"/>
  <c r="Q117" i="4"/>
  <c r="Q53" i="4"/>
  <c r="R34" i="4"/>
  <c r="R17" i="4"/>
  <c r="R33" i="4"/>
  <c r="R16" i="4"/>
  <c r="R31" i="4"/>
  <c r="R14" i="4"/>
  <c r="R26" i="4"/>
  <c r="R38" i="4"/>
  <c r="R21" i="4"/>
  <c r="R50" i="4"/>
  <c r="R51" i="4"/>
  <c r="R32" i="4"/>
  <c r="R20" i="4"/>
  <c r="R37" i="4"/>
  <c r="R36" i="4"/>
  <c r="R30" i="4"/>
  <c r="R13" i="4"/>
  <c r="R23" i="4"/>
  <c r="R18" i="4"/>
  <c r="R15" i="4"/>
  <c r="R19" i="4"/>
  <c r="R24" i="4"/>
  <c r="R22" i="4"/>
  <c r="R25" i="4"/>
  <c r="R27" i="4"/>
  <c r="R39" i="4"/>
  <c r="R35" i="4"/>
  <c r="Q41" i="4"/>
  <c r="AM17" i="27"/>
  <c r="AM16" i="27"/>
  <c r="AM13" i="27"/>
  <c r="AM15" i="27"/>
  <c r="AM18" i="27"/>
  <c r="AN3" i="27"/>
  <c r="AN14" i="27" s="1"/>
  <c r="Q227" i="4"/>
  <c r="Q206" i="4"/>
  <c r="Q185" i="4"/>
  <c r="Q164" i="4"/>
  <c r="T2" i="4"/>
  <c r="S3" i="4"/>
  <c r="S364" i="4" s="1"/>
  <c r="R332" i="4" l="1"/>
  <c r="R143" i="4"/>
  <c r="R248" i="4"/>
  <c r="R290" i="4"/>
  <c r="R311" i="4"/>
  <c r="R269" i="4"/>
  <c r="S377" i="4"/>
  <c r="T375" i="4"/>
  <c r="T374" i="4"/>
  <c r="S133" i="4"/>
  <c r="S126" i="4"/>
  <c r="S131" i="4"/>
  <c r="S132" i="4"/>
  <c r="S125" i="4"/>
  <c r="S127" i="4"/>
  <c r="S129" i="4"/>
  <c r="S337" i="4"/>
  <c r="S128" i="4"/>
  <c r="S130" i="4"/>
  <c r="S134" i="4"/>
  <c r="S356" i="4"/>
  <c r="S358" i="4" s="1"/>
  <c r="S182" i="4"/>
  <c r="S171" i="4"/>
  <c r="S176" i="4"/>
  <c r="S183" i="4"/>
  <c r="S175" i="4"/>
  <c r="S172" i="4"/>
  <c r="S167" i="4"/>
  <c r="S306" i="4"/>
  <c r="S224" i="4"/>
  <c r="S210" i="4"/>
  <c r="S297" i="4"/>
  <c r="S181" i="4"/>
  <c r="S168" i="4"/>
  <c r="S174" i="4"/>
  <c r="S298" i="4"/>
  <c r="S308" i="4"/>
  <c r="S293" i="4"/>
  <c r="S295" i="4"/>
  <c r="S299" i="4"/>
  <c r="S302" i="4"/>
  <c r="S169" i="4"/>
  <c r="S305" i="4"/>
  <c r="S301" i="4"/>
  <c r="S221" i="4"/>
  <c r="S209" i="4"/>
  <c r="S201" i="4"/>
  <c r="S192" i="4"/>
  <c r="S203" i="4"/>
  <c r="S294" i="4"/>
  <c r="S180" i="4"/>
  <c r="S296" i="4"/>
  <c r="S307" i="4"/>
  <c r="S218" i="4"/>
  <c r="S188" i="4"/>
  <c r="S189" i="4"/>
  <c r="S195" i="4"/>
  <c r="S194" i="4"/>
  <c r="S193" i="4"/>
  <c r="S211" i="4"/>
  <c r="S216" i="4"/>
  <c r="S214" i="4"/>
  <c r="S200" i="4"/>
  <c r="S204" i="4"/>
  <c r="S202" i="4"/>
  <c r="S215" i="4"/>
  <c r="S190" i="4"/>
  <c r="S191" i="4"/>
  <c r="S179" i="4"/>
  <c r="S213" i="4"/>
  <c r="S217" i="4"/>
  <c r="S173" i="4"/>
  <c r="S300" i="4"/>
  <c r="S196" i="4"/>
  <c r="S197" i="4"/>
  <c r="S223" i="4"/>
  <c r="S222" i="4"/>
  <c r="S170" i="4"/>
  <c r="S225" i="4"/>
  <c r="S309" i="4"/>
  <c r="S212" i="4"/>
  <c r="S341" i="4"/>
  <c r="S339" i="4"/>
  <c r="S340" i="4"/>
  <c r="S345" i="4"/>
  <c r="S338" i="4"/>
  <c r="S320" i="4"/>
  <c r="S315" i="4"/>
  <c r="S369" i="4"/>
  <c r="S316" i="4"/>
  <c r="S322" i="4"/>
  <c r="S330" i="4"/>
  <c r="S323" i="4"/>
  <c r="S328" i="4"/>
  <c r="S317" i="4"/>
  <c r="S318" i="4"/>
  <c r="S319" i="4"/>
  <c r="S321" i="4"/>
  <c r="S314" i="4"/>
  <c r="S327" i="4"/>
  <c r="S326" i="4"/>
  <c r="S329" i="4"/>
  <c r="S238" i="4"/>
  <c r="S232" i="4"/>
  <c r="S264" i="4"/>
  <c r="S278" i="4"/>
  <c r="S279" i="4"/>
  <c r="S266" i="4"/>
  <c r="S255" i="4"/>
  <c r="S265" i="4"/>
  <c r="S285" i="4"/>
  <c r="S233" i="4"/>
  <c r="S231" i="4"/>
  <c r="S239" i="4"/>
  <c r="S235" i="4"/>
  <c r="S258" i="4"/>
  <c r="S288" i="4"/>
  <c r="S243" i="4"/>
  <c r="S257" i="4"/>
  <c r="S272" i="4"/>
  <c r="S242" i="4"/>
  <c r="S260" i="4"/>
  <c r="S287" i="4"/>
  <c r="S281" i="4"/>
  <c r="S275" i="4"/>
  <c r="S234" i="4"/>
  <c r="S246" i="4"/>
  <c r="S273" i="4"/>
  <c r="S252" i="4"/>
  <c r="S259" i="4"/>
  <c r="S277" i="4"/>
  <c r="S263" i="4"/>
  <c r="S274" i="4"/>
  <c r="S251" i="4"/>
  <c r="S276" i="4"/>
  <c r="S236" i="4"/>
  <c r="S244" i="4"/>
  <c r="S267" i="4"/>
  <c r="S256" i="4"/>
  <c r="S280" i="4"/>
  <c r="S230" i="4"/>
  <c r="S253" i="4"/>
  <c r="S286" i="4"/>
  <c r="S237" i="4"/>
  <c r="S245" i="4"/>
  <c r="S254" i="4"/>
  <c r="S284" i="4"/>
  <c r="S344" i="4"/>
  <c r="S342" i="4"/>
  <c r="S343" i="4"/>
  <c r="S162" i="4"/>
  <c r="S147" i="4"/>
  <c r="S149" i="4"/>
  <c r="S141" i="4"/>
  <c r="S150" i="4"/>
  <c r="S79" i="4"/>
  <c r="S94" i="4"/>
  <c r="S110" i="4"/>
  <c r="S159" i="4"/>
  <c r="S160" i="4"/>
  <c r="S161" i="4"/>
  <c r="S153" i="4"/>
  <c r="S154" i="4"/>
  <c r="S122" i="4"/>
  <c r="S77" i="4"/>
  <c r="S88" i="4"/>
  <c r="S146" i="4"/>
  <c r="S140" i="4"/>
  <c r="S137" i="4"/>
  <c r="S75" i="4"/>
  <c r="S91" i="4"/>
  <c r="S139" i="4"/>
  <c r="S89" i="4"/>
  <c r="S102" i="4"/>
  <c r="S63" i="4"/>
  <c r="S158" i="4"/>
  <c r="S78" i="4"/>
  <c r="S86" i="4"/>
  <c r="S99" i="4"/>
  <c r="S101" i="4"/>
  <c r="S114" i="4"/>
  <c r="S106" i="4"/>
  <c r="S107" i="4"/>
  <c r="S103" i="4"/>
  <c r="S85" i="4"/>
  <c r="S109" i="4"/>
  <c r="S155" i="4"/>
  <c r="S74" i="4"/>
  <c r="S84" i="4"/>
  <c r="S111" i="4"/>
  <c r="S115" i="4"/>
  <c r="S64" i="4"/>
  <c r="S67" i="4"/>
  <c r="S69" i="4"/>
  <c r="S152" i="4"/>
  <c r="S148" i="4"/>
  <c r="S87" i="4"/>
  <c r="S93" i="4"/>
  <c r="S100" i="4"/>
  <c r="S112" i="4"/>
  <c r="S108" i="4"/>
  <c r="S65" i="4"/>
  <c r="S138" i="4"/>
  <c r="S90" i="4"/>
  <c r="S113" i="4"/>
  <c r="S95" i="4"/>
  <c r="S68" i="4"/>
  <c r="S72" i="4"/>
  <c r="S73" i="4"/>
  <c r="S83" i="4"/>
  <c r="S76" i="4"/>
  <c r="S92" i="4"/>
  <c r="S98" i="4"/>
  <c r="S62" i="4"/>
  <c r="S66" i="4"/>
  <c r="S151" i="4"/>
  <c r="R117" i="4"/>
  <c r="R53" i="4"/>
  <c r="R41" i="4"/>
  <c r="S35" i="4"/>
  <c r="S18" i="4"/>
  <c r="S34" i="4"/>
  <c r="S17" i="4"/>
  <c r="S51" i="4"/>
  <c r="S23" i="4"/>
  <c r="S31" i="4"/>
  <c r="S14" i="4"/>
  <c r="S38" i="4"/>
  <c r="S21" i="4"/>
  <c r="S39" i="4"/>
  <c r="S50" i="4"/>
  <c r="S33" i="4"/>
  <c r="S32" i="4"/>
  <c r="S13" i="4"/>
  <c r="S24" i="4"/>
  <c r="S37" i="4"/>
  <c r="S20" i="4"/>
  <c r="S30" i="4"/>
  <c r="S26" i="4"/>
  <c r="S36" i="4"/>
  <c r="S22" i="4"/>
  <c r="S25" i="4"/>
  <c r="S15" i="4"/>
  <c r="S19" i="4"/>
  <c r="S16" i="4"/>
  <c r="S27" i="4"/>
  <c r="AN16" i="27"/>
  <c r="H16" i="27" s="1"/>
  <c r="AN17" i="27"/>
  <c r="AN13" i="27"/>
  <c r="H13" i="27" s="1"/>
  <c r="AN15" i="27"/>
  <c r="AN18" i="27"/>
  <c r="R227" i="4"/>
  <c r="R206" i="4"/>
  <c r="R185" i="4"/>
  <c r="R164" i="4"/>
  <c r="U2" i="4"/>
  <c r="T3" i="4"/>
  <c r="T364" i="4" s="1"/>
  <c r="S290" i="4" l="1"/>
  <c r="S143" i="4"/>
  <c r="S248" i="4"/>
  <c r="S311" i="4"/>
  <c r="S332" i="4"/>
  <c r="S269" i="4"/>
  <c r="T377" i="4"/>
  <c r="U375" i="4"/>
  <c r="U374" i="4"/>
  <c r="T132" i="4"/>
  <c r="T130" i="4"/>
  <c r="T128" i="4"/>
  <c r="T125" i="4"/>
  <c r="T337" i="4"/>
  <c r="T131" i="4"/>
  <c r="T126" i="4"/>
  <c r="T129" i="4"/>
  <c r="T127" i="4"/>
  <c r="T133" i="4"/>
  <c r="T134" i="4"/>
  <c r="T356" i="4"/>
  <c r="T358" i="4" s="1"/>
  <c r="T322" i="4"/>
  <c r="T167" i="4"/>
  <c r="T182" i="4"/>
  <c r="T316" i="4"/>
  <c r="T323" i="4"/>
  <c r="T327" i="4"/>
  <c r="T326" i="4"/>
  <c r="T314" i="4"/>
  <c r="T330" i="4"/>
  <c r="T293" i="4"/>
  <c r="T308" i="4"/>
  <c r="T174" i="4"/>
  <c r="T179" i="4"/>
  <c r="T315" i="4"/>
  <c r="T294" i="4"/>
  <c r="T170" i="4"/>
  <c r="T301" i="4"/>
  <c r="T168" i="4"/>
  <c r="T320" i="4"/>
  <c r="T171" i="4"/>
  <c r="T181" i="4"/>
  <c r="T321" i="4"/>
  <c r="T297" i="4"/>
  <c r="T176" i="4"/>
  <c r="T173" i="4"/>
  <c r="T307" i="4"/>
  <c r="T210" i="4"/>
  <c r="T319" i="4"/>
  <c r="T299" i="4"/>
  <c r="T296" i="4"/>
  <c r="T214" i="4"/>
  <c r="T217" i="4"/>
  <c r="T209" i="4"/>
  <c r="T180" i="4"/>
  <c r="T172" i="4"/>
  <c r="T318" i="4"/>
  <c r="T302" i="4"/>
  <c r="T306" i="4"/>
  <c r="T196" i="4"/>
  <c r="T175" i="4"/>
  <c r="T328" i="4"/>
  <c r="T215" i="4"/>
  <c r="T223" i="4"/>
  <c r="T221" i="4"/>
  <c r="T189" i="4"/>
  <c r="T213" i="4"/>
  <c r="T195" i="4"/>
  <c r="T188" i="4"/>
  <c r="T192" i="4"/>
  <c r="T169" i="4"/>
  <c r="T298" i="4"/>
  <c r="T211" i="4"/>
  <c r="T218" i="4"/>
  <c r="T201" i="4"/>
  <c r="T224" i="4"/>
  <c r="T222" i="4"/>
  <c r="T204" i="4"/>
  <c r="T300" i="4"/>
  <c r="T200" i="4"/>
  <c r="T203" i="4"/>
  <c r="T309" i="4"/>
  <c r="T295" i="4"/>
  <c r="T191" i="4"/>
  <c r="T216" i="4"/>
  <c r="T329" i="4"/>
  <c r="T305" i="4"/>
  <c r="T183" i="4"/>
  <c r="T317" i="4"/>
  <c r="T190" i="4"/>
  <c r="T194" i="4"/>
  <c r="T197" i="4"/>
  <c r="T193" i="4"/>
  <c r="T225" i="4"/>
  <c r="T202" i="4"/>
  <c r="T212" i="4"/>
  <c r="T341" i="4"/>
  <c r="T338" i="4"/>
  <c r="T345" i="4"/>
  <c r="T340" i="4"/>
  <c r="T339" i="4"/>
  <c r="T346" i="4"/>
  <c r="T369" i="4"/>
  <c r="T232" i="4"/>
  <c r="T259" i="4"/>
  <c r="T264" i="4"/>
  <c r="T252" i="4"/>
  <c r="T263" i="4"/>
  <c r="T280" i="4"/>
  <c r="T243" i="4"/>
  <c r="T254" i="4"/>
  <c r="T288" i="4"/>
  <c r="T281" i="4"/>
  <c r="T274" i="4"/>
  <c r="T244" i="4"/>
  <c r="T231" i="4"/>
  <c r="T236" i="4"/>
  <c r="T255" i="4"/>
  <c r="T251" i="4"/>
  <c r="T273" i="4"/>
  <c r="T276" i="4"/>
  <c r="T245" i="4"/>
  <c r="T230" i="4"/>
  <c r="T237" i="4"/>
  <c r="T265" i="4"/>
  <c r="T284" i="4"/>
  <c r="T277" i="4"/>
  <c r="T287" i="4"/>
  <c r="T238" i="4"/>
  <c r="T235" i="4"/>
  <c r="T253" i="4"/>
  <c r="T260" i="4"/>
  <c r="T234" i="4"/>
  <c r="T233" i="4"/>
  <c r="T242" i="4"/>
  <c r="T286" i="4"/>
  <c r="T267" i="4"/>
  <c r="T258" i="4"/>
  <c r="T279" i="4"/>
  <c r="T256" i="4"/>
  <c r="T257" i="4"/>
  <c r="T275" i="4"/>
  <c r="T278" i="4"/>
  <c r="T239" i="4"/>
  <c r="T285" i="4"/>
  <c r="T246" i="4"/>
  <c r="T266" i="4"/>
  <c r="T272" i="4"/>
  <c r="T344" i="4"/>
  <c r="T343" i="4"/>
  <c r="T342" i="4"/>
  <c r="S117" i="4"/>
  <c r="T151" i="4"/>
  <c r="T153" i="4"/>
  <c r="T155" i="4"/>
  <c r="T160" i="4"/>
  <c r="T149" i="4"/>
  <c r="T141" i="4"/>
  <c r="T83" i="4"/>
  <c r="T95" i="4"/>
  <c r="T158" i="4"/>
  <c r="T138" i="4"/>
  <c r="T122" i="4"/>
  <c r="T162" i="4"/>
  <c r="T147" i="4"/>
  <c r="T154" i="4"/>
  <c r="T79" i="4"/>
  <c r="T99" i="4"/>
  <c r="T102" i="4"/>
  <c r="T107" i="4"/>
  <c r="T110" i="4"/>
  <c r="T161" i="4"/>
  <c r="T73" i="4"/>
  <c r="T152" i="4"/>
  <c r="T106" i="4"/>
  <c r="T112" i="4"/>
  <c r="T115" i="4"/>
  <c r="T159" i="4"/>
  <c r="T137" i="4"/>
  <c r="T75" i="4"/>
  <c r="T91" i="4"/>
  <c r="T72" i="4"/>
  <c r="T100" i="4"/>
  <c r="T66" i="4"/>
  <c r="T103" i="4"/>
  <c r="T78" i="4"/>
  <c r="T86" i="4"/>
  <c r="T101" i="4"/>
  <c r="T114" i="4"/>
  <c r="T63" i="4"/>
  <c r="T146" i="4"/>
  <c r="T108" i="4"/>
  <c r="T74" i="4"/>
  <c r="T77" i="4"/>
  <c r="T84" i="4"/>
  <c r="T111" i="4"/>
  <c r="T64" i="4"/>
  <c r="T139" i="4"/>
  <c r="T148" i="4"/>
  <c r="T87" i="4"/>
  <c r="T93" i="4"/>
  <c r="T150" i="4"/>
  <c r="T88" i="4"/>
  <c r="T89" i="4"/>
  <c r="T94" i="4"/>
  <c r="T109" i="4"/>
  <c r="T65" i="4"/>
  <c r="T90" i="4"/>
  <c r="T113" i="4"/>
  <c r="T69" i="4"/>
  <c r="T68" i="4"/>
  <c r="T67" i="4"/>
  <c r="T98" i="4"/>
  <c r="T76" i="4"/>
  <c r="T92" i="4"/>
  <c r="T140" i="4"/>
  <c r="T85" i="4"/>
  <c r="T62" i="4"/>
  <c r="T36" i="4"/>
  <c r="T19" i="4"/>
  <c r="T35" i="4"/>
  <c r="T18" i="4"/>
  <c r="T33" i="4"/>
  <c r="T16" i="4"/>
  <c r="T51" i="4"/>
  <c r="T23" i="4"/>
  <c r="T31" i="4"/>
  <c r="T14" i="4"/>
  <c r="T15" i="4"/>
  <c r="T26" i="4"/>
  <c r="T39" i="4"/>
  <c r="T50" i="4"/>
  <c r="T25" i="4"/>
  <c r="T13" i="4"/>
  <c r="T20" i="4"/>
  <c r="T30" i="4"/>
  <c r="T37" i="4"/>
  <c r="T32" i="4"/>
  <c r="T34" i="4"/>
  <c r="T38" i="4"/>
  <c r="T21" i="4"/>
  <c r="T24" i="4"/>
  <c r="T22" i="4"/>
  <c r="T17" i="4"/>
  <c r="T27" i="4"/>
  <c r="S41" i="4"/>
  <c r="S53" i="4"/>
  <c r="S227" i="4"/>
  <c r="S206" i="4"/>
  <c r="S185" i="4"/>
  <c r="S164" i="4"/>
  <c r="V2" i="4"/>
  <c r="U3" i="4"/>
  <c r="U364" i="4" s="1"/>
  <c r="T269" i="4" l="1"/>
  <c r="T143" i="4"/>
  <c r="T311" i="4"/>
  <c r="T332" i="4"/>
  <c r="T290" i="4"/>
  <c r="T248" i="4"/>
  <c r="U377" i="4"/>
  <c r="V375" i="4"/>
  <c r="V374" i="4"/>
  <c r="T348" i="4"/>
  <c r="U337" i="4"/>
  <c r="U131" i="4"/>
  <c r="U132" i="4"/>
  <c r="U134" i="4"/>
  <c r="U127" i="4"/>
  <c r="U133" i="4"/>
  <c r="U126" i="4"/>
  <c r="U130" i="4"/>
  <c r="U125" i="4"/>
  <c r="U128" i="4"/>
  <c r="U129" i="4"/>
  <c r="U356" i="4"/>
  <c r="U358" i="4" s="1"/>
  <c r="U321" i="4"/>
  <c r="U182" i="4"/>
  <c r="U326" i="4"/>
  <c r="U176" i="4"/>
  <c r="U181" i="4"/>
  <c r="U322" i="4"/>
  <c r="U180" i="4"/>
  <c r="U309" i="4"/>
  <c r="U300" i="4"/>
  <c r="U175" i="4"/>
  <c r="U319" i="4"/>
  <c r="U318" i="4"/>
  <c r="U330" i="4"/>
  <c r="U169" i="4"/>
  <c r="U295" i="4"/>
  <c r="U308" i="4"/>
  <c r="U301" i="4"/>
  <c r="U174" i="4"/>
  <c r="U302" i="4"/>
  <c r="U307" i="4"/>
  <c r="U171" i="4"/>
  <c r="U314" i="4"/>
  <c r="U214" i="4"/>
  <c r="U218" i="4"/>
  <c r="U191" i="4"/>
  <c r="U317" i="4"/>
  <c r="U306" i="4"/>
  <c r="U293" i="4"/>
  <c r="U209" i="4"/>
  <c r="U179" i="4"/>
  <c r="U217" i="4"/>
  <c r="U172" i="4"/>
  <c r="U298" i="4"/>
  <c r="U168" i="4"/>
  <c r="U315" i="4"/>
  <c r="U297" i="4"/>
  <c r="U225" i="4"/>
  <c r="U215" i="4"/>
  <c r="U200" i="4"/>
  <c r="U296" i="4"/>
  <c r="U224" i="4"/>
  <c r="U221" i="4"/>
  <c r="U223" i="4"/>
  <c r="U204" i="4"/>
  <c r="U201" i="4"/>
  <c r="U195" i="4"/>
  <c r="U189" i="4"/>
  <c r="U188" i="4"/>
  <c r="U323" i="4"/>
  <c r="U316" i="4"/>
  <c r="U170" i="4"/>
  <c r="U294" i="4"/>
  <c r="U305" i="4"/>
  <c r="U210" i="4"/>
  <c r="U213" i="4"/>
  <c r="U197" i="4"/>
  <c r="U194" i="4"/>
  <c r="U320" i="4"/>
  <c r="U203" i="4"/>
  <c r="U202" i="4"/>
  <c r="U196" i="4"/>
  <c r="U222" i="4"/>
  <c r="U212" i="4"/>
  <c r="U193" i="4"/>
  <c r="U329" i="4"/>
  <c r="U216" i="4"/>
  <c r="U167" i="4"/>
  <c r="U327" i="4"/>
  <c r="U183" i="4"/>
  <c r="U192" i="4"/>
  <c r="U173" i="4"/>
  <c r="U190" i="4"/>
  <c r="U299" i="4"/>
  <c r="U328" i="4"/>
  <c r="U211" i="4"/>
  <c r="U338" i="4"/>
  <c r="U339" i="4"/>
  <c r="U346" i="4"/>
  <c r="U340" i="4"/>
  <c r="U341" i="4"/>
  <c r="U345" i="4"/>
  <c r="U369" i="4"/>
  <c r="U274" i="4"/>
  <c r="U288" i="4"/>
  <c r="U275" i="4"/>
  <c r="U246" i="4"/>
  <c r="U245" i="4"/>
  <c r="U235" i="4"/>
  <c r="U238" i="4"/>
  <c r="U259" i="4"/>
  <c r="U285" i="4"/>
  <c r="U258" i="4"/>
  <c r="U263" i="4"/>
  <c r="U253" i="4"/>
  <c r="U244" i="4"/>
  <c r="U255" i="4"/>
  <c r="U278" i="4"/>
  <c r="U230" i="4"/>
  <c r="U239" i="4"/>
  <c r="U236" i="4"/>
  <c r="U252" i="4"/>
  <c r="U254" i="4"/>
  <c r="U237" i="4"/>
  <c r="U233" i="4"/>
  <c r="U243" i="4"/>
  <c r="U276" i="4"/>
  <c r="U273" i="4"/>
  <c r="U267" i="4"/>
  <c r="U280" i="4"/>
  <c r="U287" i="4"/>
  <c r="U284" i="4"/>
  <c r="U265" i="4"/>
  <c r="U251" i="4"/>
  <c r="U272" i="4"/>
  <c r="U281" i="4"/>
  <c r="U279" i="4"/>
  <c r="U286" i="4"/>
  <c r="U232" i="4"/>
  <c r="U266" i="4"/>
  <c r="U257" i="4"/>
  <c r="U264" i="4"/>
  <c r="U260" i="4"/>
  <c r="U256" i="4"/>
  <c r="U277" i="4"/>
  <c r="U234" i="4"/>
  <c r="U231" i="4"/>
  <c r="U242" i="4"/>
  <c r="U343" i="4"/>
  <c r="U342" i="4"/>
  <c r="U344" i="4"/>
  <c r="T117" i="4"/>
  <c r="U147" i="4"/>
  <c r="U148" i="4"/>
  <c r="U149" i="4"/>
  <c r="U150" i="4"/>
  <c r="U122" i="4"/>
  <c r="U84" i="4"/>
  <c r="U98" i="4"/>
  <c r="U152" i="4"/>
  <c r="U137" i="4"/>
  <c r="U161" i="4"/>
  <c r="U73" i="4"/>
  <c r="U76" i="4"/>
  <c r="U79" i="4"/>
  <c r="U140" i="4"/>
  <c r="U85" i="4"/>
  <c r="U88" i="4"/>
  <c r="U91" i="4"/>
  <c r="U94" i="4"/>
  <c r="U138" i="4"/>
  <c r="U77" i="4"/>
  <c r="U162" i="4"/>
  <c r="U74" i="4"/>
  <c r="U93" i="4"/>
  <c r="U108" i="4"/>
  <c r="U106" i="4"/>
  <c r="U112" i="4"/>
  <c r="U115" i="4"/>
  <c r="U75" i="4"/>
  <c r="U95" i="4"/>
  <c r="U113" i="4"/>
  <c r="U62" i="4"/>
  <c r="U101" i="4"/>
  <c r="U114" i="4"/>
  <c r="U158" i="4"/>
  <c r="U72" i="4"/>
  <c r="U99" i="4"/>
  <c r="U100" i="4"/>
  <c r="U102" i="4"/>
  <c r="U66" i="4"/>
  <c r="U78" i="4"/>
  <c r="U86" i="4"/>
  <c r="U109" i="4"/>
  <c r="U153" i="4"/>
  <c r="U154" i="4"/>
  <c r="U155" i="4"/>
  <c r="U146" i="4"/>
  <c r="U110" i="4"/>
  <c r="U139" i="4"/>
  <c r="U87" i="4"/>
  <c r="U89" i="4"/>
  <c r="U159" i="4"/>
  <c r="U141" i="4"/>
  <c r="U63" i="4"/>
  <c r="U65" i="4"/>
  <c r="U151" i="4"/>
  <c r="U90" i="4"/>
  <c r="U69" i="4"/>
  <c r="U111" i="4"/>
  <c r="U68" i="4"/>
  <c r="U83" i="4"/>
  <c r="U67" i="4"/>
  <c r="U103" i="4"/>
  <c r="U64" i="4"/>
  <c r="U107" i="4"/>
  <c r="U160" i="4"/>
  <c r="U92" i="4"/>
  <c r="U51" i="4"/>
  <c r="U37" i="4"/>
  <c r="U20" i="4"/>
  <c r="U36" i="4"/>
  <c r="U19" i="4"/>
  <c r="U25" i="4"/>
  <c r="U33" i="4"/>
  <c r="U16" i="4"/>
  <c r="U23" i="4"/>
  <c r="U21" i="4"/>
  <c r="U27" i="4"/>
  <c r="U15" i="4"/>
  <c r="U26" i="4"/>
  <c r="U32" i="4"/>
  <c r="U31" i="4"/>
  <c r="U50" i="4"/>
  <c r="U17" i="4"/>
  <c r="U13" i="4"/>
  <c r="U30" i="4"/>
  <c r="U14" i="4"/>
  <c r="U18" i="4"/>
  <c r="U38" i="4"/>
  <c r="U34" i="4"/>
  <c r="U22" i="4"/>
  <c r="U24" i="4"/>
  <c r="U39" i="4"/>
  <c r="U35" i="4"/>
  <c r="T41" i="4"/>
  <c r="T53" i="4"/>
  <c r="T227" i="4"/>
  <c r="T206" i="4"/>
  <c r="T185" i="4"/>
  <c r="T164" i="4"/>
  <c r="W2" i="4"/>
  <c r="V3" i="4"/>
  <c r="V364" i="4" s="1"/>
  <c r="U248" i="4" l="1"/>
  <c r="U332" i="4"/>
  <c r="U290" i="4"/>
  <c r="U143" i="4"/>
  <c r="U311" i="4"/>
  <c r="U269" i="4"/>
  <c r="V377" i="4"/>
  <c r="T379" i="4"/>
  <c r="W375" i="4"/>
  <c r="W374" i="4"/>
  <c r="U348" i="4"/>
  <c r="V337" i="4"/>
  <c r="V127" i="4"/>
  <c r="V134" i="4"/>
  <c r="V129" i="4"/>
  <c r="V130" i="4"/>
  <c r="V128" i="4"/>
  <c r="V125" i="4"/>
  <c r="V133" i="4"/>
  <c r="V126" i="4"/>
  <c r="V132" i="4"/>
  <c r="V131" i="4"/>
  <c r="V356" i="4"/>
  <c r="V358" i="4" s="1"/>
  <c r="V180" i="4"/>
  <c r="V168" i="4"/>
  <c r="V171" i="4"/>
  <c r="V322" i="4"/>
  <c r="V317" i="4"/>
  <c r="V316" i="4"/>
  <c r="V167" i="4"/>
  <c r="V182" i="4"/>
  <c r="V319" i="4"/>
  <c r="V175" i="4"/>
  <c r="V329" i="4"/>
  <c r="V307" i="4"/>
  <c r="V183" i="4"/>
  <c r="V298" i="4"/>
  <c r="V326" i="4"/>
  <c r="V302" i="4"/>
  <c r="V308" i="4"/>
  <c r="V181" i="4"/>
  <c r="V315" i="4"/>
  <c r="V314" i="4"/>
  <c r="V297" i="4"/>
  <c r="V176" i="4"/>
  <c r="V293" i="4"/>
  <c r="V174" i="4"/>
  <c r="V321" i="4"/>
  <c r="V309" i="4"/>
  <c r="V217" i="4"/>
  <c r="V218" i="4"/>
  <c r="V179" i="4"/>
  <c r="V323" i="4"/>
  <c r="V212" i="4"/>
  <c r="V224" i="4"/>
  <c r="V296" i="4"/>
  <c r="V306" i="4"/>
  <c r="V222" i="4"/>
  <c r="V223" i="4"/>
  <c r="V216" i="4"/>
  <c r="V173" i="4"/>
  <c r="V299" i="4"/>
  <c r="V215" i="4"/>
  <c r="V318" i="4"/>
  <c r="V169" i="4"/>
  <c r="V320" i="4"/>
  <c r="V209" i="4"/>
  <c r="V203" i="4"/>
  <c r="V196" i="4"/>
  <c r="V305" i="4"/>
  <c r="V328" i="4"/>
  <c r="V211" i="4"/>
  <c r="V221" i="4"/>
  <c r="V210" i="4"/>
  <c r="V213" i="4"/>
  <c r="V188" i="4"/>
  <c r="V204" i="4"/>
  <c r="V192" i="4"/>
  <c r="V195" i="4"/>
  <c r="V201" i="4"/>
  <c r="V225" i="4"/>
  <c r="V200" i="4"/>
  <c r="V197" i="4"/>
  <c r="V193" i="4"/>
  <c r="V295" i="4"/>
  <c r="V301" i="4"/>
  <c r="V330" i="4"/>
  <c r="V300" i="4"/>
  <c r="V294" i="4"/>
  <c r="V191" i="4"/>
  <c r="V202" i="4"/>
  <c r="V172" i="4"/>
  <c r="V327" i="4"/>
  <c r="V214" i="4"/>
  <c r="V190" i="4"/>
  <c r="V170" i="4"/>
  <c r="V194" i="4"/>
  <c r="V189" i="4"/>
  <c r="V341" i="4"/>
  <c r="V340" i="4"/>
  <c r="V346" i="4"/>
  <c r="V339" i="4"/>
  <c r="V338" i="4"/>
  <c r="V345" i="4"/>
  <c r="V369" i="4"/>
  <c r="V245" i="4"/>
  <c r="V238" i="4"/>
  <c r="V264" i="4"/>
  <c r="V272" i="4"/>
  <c r="V278" i="4"/>
  <c r="V246" i="4"/>
  <c r="V233" i="4"/>
  <c r="V259" i="4"/>
  <c r="V257" i="4"/>
  <c r="V260" i="4"/>
  <c r="V287" i="4"/>
  <c r="V244" i="4"/>
  <c r="V234" i="4"/>
  <c r="V239" i="4"/>
  <c r="V254" i="4"/>
  <c r="V277" i="4"/>
  <c r="V286" i="4"/>
  <c r="V242" i="4"/>
  <c r="V235" i="4"/>
  <c r="V230" i="4"/>
  <c r="V251" i="4"/>
  <c r="V263" i="4"/>
  <c r="V288" i="4"/>
  <c r="V279" i="4"/>
  <c r="V273" i="4"/>
  <c r="V274" i="4"/>
  <c r="V284" i="4"/>
  <c r="V276" i="4"/>
  <c r="V231" i="4"/>
  <c r="V243" i="4"/>
  <c r="V285" i="4"/>
  <c r="V232" i="4"/>
  <c r="V252" i="4"/>
  <c r="V256" i="4"/>
  <c r="V280" i="4"/>
  <c r="V255" i="4"/>
  <c r="V267" i="4"/>
  <c r="V236" i="4"/>
  <c r="V258" i="4"/>
  <c r="V266" i="4"/>
  <c r="V253" i="4"/>
  <c r="V237" i="4"/>
  <c r="V265" i="4"/>
  <c r="V275" i="4"/>
  <c r="V281" i="4"/>
  <c r="V344" i="4"/>
  <c r="V342" i="4"/>
  <c r="V343" i="4"/>
  <c r="U53" i="4"/>
  <c r="V151" i="4"/>
  <c r="V152" i="4"/>
  <c r="V153" i="4"/>
  <c r="V154" i="4"/>
  <c r="V155" i="4"/>
  <c r="V159" i="4"/>
  <c r="V138" i="4"/>
  <c r="V162" i="4"/>
  <c r="V148" i="4"/>
  <c r="V140" i="4"/>
  <c r="V85" i="4"/>
  <c r="V99" i="4"/>
  <c r="V158" i="4"/>
  <c r="V150" i="4"/>
  <c r="V139" i="4"/>
  <c r="V160" i="4"/>
  <c r="V72" i="4"/>
  <c r="V149" i="4"/>
  <c r="V161" i="4"/>
  <c r="V146" i="4"/>
  <c r="V122" i="4"/>
  <c r="V78" i="4"/>
  <c r="V84" i="4"/>
  <c r="V86" i="4"/>
  <c r="V95" i="4"/>
  <c r="V64" i="4"/>
  <c r="V74" i="4"/>
  <c r="V93" i="4"/>
  <c r="V108" i="4"/>
  <c r="V87" i="4"/>
  <c r="V98" i="4"/>
  <c r="V68" i="4"/>
  <c r="V100" i="4"/>
  <c r="V102" i="4"/>
  <c r="V75" i="4"/>
  <c r="V113" i="4"/>
  <c r="V62" i="4"/>
  <c r="V103" i="4"/>
  <c r="V107" i="4"/>
  <c r="V109" i="4"/>
  <c r="V115" i="4"/>
  <c r="V92" i="4"/>
  <c r="V66" i="4"/>
  <c r="V112" i="4"/>
  <c r="V88" i="4"/>
  <c r="V101" i="4"/>
  <c r="V141" i="4"/>
  <c r="V63" i="4"/>
  <c r="V65" i="4"/>
  <c r="V89" i="4"/>
  <c r="V94" i="4"/>
  <c r="V90" i="4"/>
  <c r="V69" i="4"/>
  <c r="V73" i="4"/>
  <c r="V114" i="4"/>
  <c r="V106" i="4"/>
  <c r="V111" i="4"/>
  <c r="V110" i="4"/>
  <c r="V137" i="4"/>
  <c r="V91" i="4"/>
  <c r="V77" i="4"/>
  <c r="V79" i="4"/>
  <c r="V147" i="4"/>
  <c r="V83" i="4"/>
  <c r="V67" i="4"/>
  <c r="V76" i="4"/>
  <c r="U117" i="4"/>
  <c r="U41" i="4"/>
  <c r="V38" i="4"/>
  <c r="V21" i="4"/>
  <c r="V51" i="4"/>
  <c r="V37" i="4"/>
  <c r="V20" i="4"/>
  <c r="V35" i="4"/>
  <c r="V18" i="4"/>
  <c r="V16" i="4"/>
  <c r="V25" i="4"/>
  <c r="V33" i="4"/>
  <c r="V34" i="4"/>
  <c r="V22" i="4"/>
  <c r="V27" i="4"/>
  <c r="V50" i="4"/>
  <c r="V19" i="4"/>
  <c r="V32" i="4"/>
  <c r="V17" i="4"/>
  <c r="V31" i="4"/>
  <c r="V23" i="4"/>
  <c r="V13" i="4"/>
  <c r="V26" i="4"/>
  <c r="V30" i="4"/>
  <c r="V14" i="4"/>
  <c r="V36" i="4"/>
  <c r="V15" i="4"/>
  <c r="V39" i="4"/>
  <c r="V24" i="4"/>
  <c r="U227" i="4"/>
  <c r="U206" i="4"/>
  <c r="U185" i="4"/>
  <c r="U164" i="4"/>
  <c r="X2" i="4"/>
  <c r="W3" i="4"/>
  <c r="W364" i="4" s="1"/>
  <c r="V290" i="4" l="1"/>
  <c r="V332" i="4"/>
  <c r="V311" i="4"/>
  <c r="V248" i="4"/>
  <c r="V143" i="4"/>
  <c r="V269" i="4"/>
  <c r="U379" i="4"/>
  <c r="W377" i="4"/>
  <c r="X375" i="4"/>
  <c r="X374" i="4"/>
  <c r="W130" i="4"/>
  <c r="W133" i="4"/>
  <c r="W337" i="4"/>
  <c r="W129" i="4"/>
  <c r="W126" i="4"/>
  <c r="W127" i="4"/>
  <c r="W125" i="4"/>
  <c r="W131" i="4"/>
  <c r="W128" i="4"/>
  <c r="W132" i="4"/>
  <c r="W134" i="4"/>
  <c r="W356" i="4"/>
  <c r="W358" i="4" s="1"/>
  <c r="W173" i="4"/>
  <c r="W327" i="4"/>
  <c r="W307" i="4"/>
  <c r="W168" i="4"/>
  <c r="W326" i="4"/>
  <c r="W315" i="4"/>
  <c r="W182" i="4"/>
  <c r="W170" i="4"/>
  <c r="W317" i="4"/>
  <c r="W169" i="4"/>
  <c r="W328" i="4"/>
  <c r="W320" i="4"/>
  <c r="W318" i="4"/>
  <c r="W323" i="4"/>
  <c r="W183" i="4"/>
  <c r="W301" i="4"/>
  <c r="W213" i="4"/>
  <c r="W167" i="4"/>
  <c r="W175" i="4"/>
  <c r="W298" i="4"/>
  <c r="W181" i="4"/>
  <c r="W180" i="4"/>
  <c r="W171" i="4"/>
  <c r="W293" i="4"/>
  <c r="W294" i="4"/>
  <c r="W302" i="4"/>
  <c r="W225" i="4"/>
  <c r="W330" i="4"/>
  <c r="W322" i="4"/>
  <c r="W321" i="4"/>
  <c r="W308" i="4"/>
  <c r="W172" i="4"/>
  <c r="W309" i="4"/>
  <c r="W218" i="4"/>
  <c r="W306" i="4"/>
  <c r="W223" i="4"/>
  <c r="W209" i="4"/>
  <c r="W295" i="4"/>
  <c r="W174" i="4"/>
  <c r="W215" i="4"/>
  <c r="W204" i="4"/>
  <c r="W214" i="4"/>
  <c r="W316" i="4"/>
  <c r="W329" i="4"/>
  <c r="W296" i="4"/>
  <c r="W297" i="4"/>
  <c r="W195" i="4"/>
  <c r="W314" i="4"/>
  <c r="W212" i="4"/>
  <c r="W196" i="4"/>
  <c r="W222" i="4"/>
  <c r="W216" i="4"/>
  <c r="W197" i="4"/>
  <c r="W194" i="4"/>
  <c r="W193" i="4"/>
  <c r="W319" i="4"/>
  <c r="W188" i="4"/>
  <c r="W305" i="4"/>
  <c r="W176" i="4"/>
  <c r="W224" i="4"/>
  <c r="W299" i="4"/>
  <c r="W191" i="4"/>
  <c r="W179" i="4"/>
  <c r="W221" i="4"/>
  <c r="W202" i="4"/>
  <c r="W210" i="4"/>
  <c r="W189" i="4"/>
  <c r="W190" i="4"/>
  <c r="W217" i="4"/>
  <c r="W192" i="4"/>
  <c r="W200" i="4"/>
  <c r="W300" i="4"/>
  <c r="W201" i="4"/>
  <c r="W203" i="4"/>
  <c r="W211" i="4"/>
  <c r="W338" i="4"/>
  <c r="W346" i="4"/>
  <c r="W341" i="4"/>
  <c r="W340" i="4"/>
  <c r="W339" i="4"/>
  <c r="W345" i="4"/>
  <c r="W369" i="4"/>
  <c r="W232" i="4"/>
  <c r="W235" i="4"/>
  <c r="W256" i="4"/>
  <c r="W280" i="4"/>
  <c r="W288" i="4"/>
  <c r="W238" i="4"/>
  <c r="W242" i="4"/>
  <c r="W234" i="4"/>
  <c r="W276" i="4"/>
  <c r="W274" i="4"/>
  <c r="W246" i="4"/>
  <c r="W245" i="4"/>
  <c r="W254" i="4"/>
  <c r="W264" i="4"/>
  <c r="W244" i="4"/>
  <c r="W253" i="4"/>
  <c r="W251" i="4"/>
  <c r="W281" i="4"/>
  <c r="W286" i="4"/>
  <c r="W263" i="4"/>
  <c r="W260" i="4"/>
  <c r="W277" i="4"/>
  <c r="W243" i="4"/>
  <c r="W258" i="4"/>
  <c r="W257" i="4"/>
  <c r="W279" i="4"/>
  <c r="W284" i="4"/>
  <c r="W231" i="4"/>
  <c r="W287" i="4"/>
  <c r="W239" i="4"/>
  <c r="W273" i="4"/>
  <c r="W259" i="4"/>
  <c r="W285" i="4"/>
  <c r="W237" i="4"/>
  <c r="W255" i="4"/>
  <c r="W272" i="4"/>
  <c r="W252" i="4"/>
  <c r="W275" i="4"/>
  <c r="W233" i="4"/>
  <c r="W278" i="4"/>
  <c r="W266" i="4"/>
  <c r="W230" i="4"/>
  <c r="W265" i="4"/>
  <c r="W236" i="4"/>
  <c r="W267" i="4"/>
  <c r="W343" i="4"/>
  <c r="W342" i="4"/>
  <c r="W344" i="4"/>
  <c r="V348" i="4"/>
  <c r="W158" i="4"/>
  <c r="W146" i="4"/>
  <c r="W137" i="4"/>
  <c r="W147" i="4"/>
  <c r="W148" i="4"/>
  <c r="W149" i="4"/>
  <c r="W150" i="4"/>
  <c r="W86" i="4"/>
  <c r="W100" i="4"/>
  <c r="W151" i="4"/>
  <c r="W141" i="4"/>
  <c r="W74" i="4"/>
  <c r="W111" i="4"/>
  <c r="W83" i="4"/>
  <c r="W138" i="4"/>
  <c r="W154" i="4"/>
  <c r="W110" i="4"/>
  <c r="W162" i="4"/>
  <c r="W152" i="4"/>
  <c r="W122" i="4"/>
  <c r="W78" i="4"/>
  <c r="W84" i="4"/>
  <c r="W95" i="4"/>
  <c r="W64" i="4"/>
  <c r="W92" i="4"/>
  <c r="W94" i="4"/>
  <c r="W75" i="4"/>
  <c r="W99" i="4"/>
  <c r="W87" i="4"/>
  <c r="W98" i="4"/>
  <c r="W68" i="4"/>
  <c r="W72" i="4"/>
  <c r="W113" i="4"/>
  <c r="W85" i="4"/>
  <c r="W101" i="4"/>
  <c r="W106" i="4"/>
  <c r="W114" i="4"/>
  <c r="W63" i="4"/>
  <c r="W103" i="4"/>
  <c r="W107" i="4"/>
  <c r="W108" i="4"/>
  <c r="W160" i="4"/>
  <c r="W73" i="4"/>
  <c r="W76" i="4"/>
  <c r="W62" i="4"/>
  <c r="W155" i="4"/>
  <c r="W66" i="4"/>
  <c r="W139" i="4"/>
  <c r="W93" i="4"/>
  <c r="W112" i="4"/>
  <c r="W89" i="4"/>
  <c r="W102" i="4"/>
  <c r="W159" i="4"/>
  <c r="W88" i="4"/>
  <c r="W109" i="4"/>
  <c r="W161" i="4"/>
  <c r="W153" i="4"/>
  <c r="W90" i="4"/>
  <c r="W69" i="4"/>
  <c r="W140" i="4"/>
  <c r="W65" i="4"/>
  <c r="W91" i="4"/>
  <c r="W77" i="4"/>
  <c r="W79" i="4"/>
  <c r="W115" i="4"/>
  <c r="W67" i="4"/>
  <c r="V117" i="4"/>
  <c r="W50" i="4"/>
  <c r="W39" i="4"/>
  <c r="W22" i="4"/>
  <c r="W38" i="4"/>
  <c r="W21" i="4"/>
  <c r="W30" i="4"/>
  <c r="W13" i="4"/>
  <c r="W27" i="4"/>
  <c r="W35" i="4"/>
  <c r="W18" i="4"/>
  <c r="W51" i="4"/>
  <c r="W25" i="4"/>
  <c r="W34" i="4"/>
  <c r="W33" i="4"/>
  <c r="W14" i="4"/>
  <c r="W20" i="4"/>
  <c r="W36" i="4"/>
  <c r="W17" i="4"/>
  <c r="W31" i="4"/>
  <c r="W37" i="4"/>
  <c r="W23" i="4"/>
  <c r="W32" i="4"/>
  <c r="W26" i="4"/>
  <c r="W15" i="4"/>
  <c r="W19" i="4"/>
  <c r="W24" i="4"/>
  <c r="W16" i="4"/>
  <c r="V53" i="4"/>
  <c r="V41" i="4"/>
  <c r="V227" i="4"/>
  <c r="V206" i="4"/>
  <c r="V185" i="4"/>
  <c r="V164" i="4"/>
  <c r="Y2" i="4"/>
  <c r="X3" i="4"/>
  <c r="X364" i="4" s="1"/>
  <c r="W332" i="4" l="1"/>
  <c r="W311" i="4"/>
  <c r="W143" i="4"/>
  <c r="W290" i="4"/>
  <c r="W248" i="4"/>
  <c r="W269" i="4"/>
  <c r="X377" i="4"/>
  <c r="V379" i="4"/>
  <c r="Y375" i="4"/>
  <c r="Y374" i="4"/>
  <c r="X125" i="4"/>
  <c r="X134" i="4"/>
  <c r="X337" i="4"/>
  <c r="X130" i="4"/>
  <c r="X133" i="4"/>
  <c r="X129" i="4"/>
  <c r="X132" i="4"/>
  <c r="X131" i="4"/>
  <c r="X128" i="4"/>
  <c r="X126" i="4"/>
  <c r="X127" i="4"/>
  <c r="X356" i="4"/>
  <c r="X358" i="4" s="1"/>
  <c r="X171" i="4"/>
  <c r="X167" i="4"/>
  <c r="X322" i="4"/>
  <c r="X175" i="4"/>
  <c r="X330" i="4"/>
  <c r="X317" i="4"/>
  <c r="X323" i="4"/>
  <c r="X173" i="4"/>
  <c r="X315" i="4"/>
  <c r="X327" i="4"/>
  <c r="X326" i="4"/>
  <c r="X180" i="4"/>
  <c r="X169" i="4"/>
  <c r="X172" i="4"/>
  <c r="X181" i="4"/>
  <c r="X321" i="4"/>
  <c r="X307" i="4"/>
  <c r="X179" i="4"/>
  <c r="X309" i="4"/>
  <c r="X296" i="4"/>
  <c r="X318" i="4"/>
  <c r="X295" i="4"/>
  <c r="X170" i="4"/>
  <c r="X329" i="4"/>
  <c r="X316" i="4"/>
  <c r="X168" i="4"/>
  <c r="X298" i="4"/>
  <c r="X183" i="4"/>
  <c r="X328" i="4"/>
  <c r="X218" i="4"/>
  <c r="X216" i="4"/>
  <c r="X293" i="4"/>
  <c r="X302" i="4"/>
  <c r="X223" i="4"/>
  <c r="X222" i="4"/>
  <c r="X209" i="4"/>
  <c r="X182" i="4"/>
  <c r="X300" i="4"/>
  <c r="X320" i="4"/>
  <c r="X211" i="4"/>
  <c r="X213" i="4"/>
  <c r="X215" i="4"/>
  <c r="X188" i="4"/>
  <c r="X297" i="4"/>
  <c r="X294" i="4"/>
  <c r="X301" i="4"/>
  <c r="X305" i="4"/>
  <c r="X221" i="4"/>
  <c r="X174" i="4"/>
  <c r="X176" i="4"/>
  <c r="X191" i="4"/>
  <c r="X197" i="4"/>
  <c r="X319" i="4"/>
  <c r="X224" i="4"/>
  <c r="X217" i="4"/>
  <c r="X189" i="4"/>
  <c r="X192" i="4"/>
  <c r="X201" i="4"/>
  <c r="X202" i="4"/>
  <c r="X204" i="4"/>
  <c r="X195" i="4"/>
  <c r="X210" i="4"/>
  <c r="X196" i="4"/>
  <c r="X299" i="4"/>
  <c r="X212" i="4"/>
  <c r="X194" i="4"/>
  <c r="X308" i="4"/>
  <c r="X214" i="4"/>
  <c r="X193" i="4"/>
  <c r="X306" i="4"/>
  <c r="X203" i="4"/>
  <c r="X200" i="4"/>
  <c r="X225" i="4"/>
  <c r="X314" i="4"/>
  <c r="X190" i="4"/>
  <c r="X346" i="4"/>
  <c r="X345" i="4"/>
  <c r="X338" i="4"/>
  <c r="X340" i="4"/>
  <c r="X339" i="4"/>
  <c r="X341" i="4"/>
  <c r="X369" i="4"/>
  <c r="X237" i="4"/>
  <c r="X238" i="4"/>
  <c r="X260" i="4"/>
  <c r="X285" i="4"/>
  <c r="X276" i="4"/>
  <c r="X272" i="4"/>
  <c r="X274" i="4"/>
  <c r="X233" i="4"/>
  <c r="X242" i="4"/>
  <c r="X252" i="4"/>
  <c r="X255" i="4"/>
  <c r="X286" i="4"/>
  <c r="X234" i="4"/>
  <c r="X239" i="4"/>
  <c r="X277" i="4"/>
  <c r="X259" i="4"/>
  <c r="X253" i="4"/>
  <c r="X264" i="4"/>
  <c r="X257" i="4"/>
  <c r="X284" i="4"/>
  <c r="X281" i="4"/>
  <c r="X287" i="4"/>
  <c r="X256" i="4"/>
  <c r="X254" i="4"/>
  <c r="X279" i="4"/>
  <c r="X245" i="4"/>
  <c r="X263" i="4"/>
  <c r="X231" i="4"/>
  <c r="X244" i="4"/>
  <c r="X266" i="4"/>
  <c r="X232" i="4"/>
  <c r="X251" i="4"/>
  <c r="X236" i="4"/>
  <c r="X246" i="4"/>
  <c r="X288" i="4"/>
  <c r="X265" i="4"/>
  <c r="X278" i="4"/>
  <c r="X273" i="4"/>
  <c r="X280" i="4"/>
  <c r="X230" i="4"/>
  <c r="X258" i="4"/>
  <c r="X275" i="4"/>
  <c r="X235" i="4"/>
  <c r="X243" i="4"/>
  <c r="X267" i="4"/>
  <c r="X343" i="4"/>
  <c r="X342" i="4"/>
  <c r="X344" i="4"/>
  <c r="W348" i="4"/>
  <c r="W117" i="4"/>
  <c r="X159" i="4"/>
  <c r="X138" i="4"/>
  <c r="X151" i="4"/>
  <c r="X152" i="4"/>
  <c r="X153" i="4"/>
  <c r="X154" i="4"/>
  <c r="X155" i="4"/>
  <c r="X161" i="4"/>
  <c r="X140" i="4"/>
  <c r="X147" i="4"/>
  <c r="X149" i="4"/>
  <c r="X72" i="4"/>
  <c r="X87" i="4"/>
  <c r="X101" i="4"/>
  <c r="X150" i="4"/>
  <c r="X158" i="4"/>
  <c r="X103" i="4"/>
  <c r="X108" i="4"/>
  <c r="X112" i="4"/>
  <c r="X76" i="4"/>
  <c r="X88" i="4"/>
  <c r="X99" i="4"/>
  <c r="X113" i="4"/>
  <c r="X146" i="4"/>
  <c r="X86" i="4"/>
  <c r="X110" i="4"/>
  <c r="X90" i="4"/>
  <c r="X93" i="4"/>
  <c r="X98" i="4"/>
  <c r="X92" i="4"/>
  <c r="X94" i="4"/>
  <c r="X95" i="4"/>
  <c r="X102" i="4"/>
  <c r="X66" i="4"/>
  <c r="X85" i="4"/>
  <c r="X106" i="4"/>
  <c r="X114" i="4"/>
  <c r="X63" i="4"/>
  <c r="X107" i="4"/>
  <c r="X115" i="4"/>
  <c r="X67" i="4"/>
  <c r="X160" i="4"/>
  <c r="X73" i="4"/>
  <c r="X100" i="4"/>
  <c r="X62" i="4"/>
  <c r="X148" i="4"/>
  <c r="X122" i="4"/>
  <c r="X139" i="4"/>
  <c r="X109" i="4"/>
  <c r="X141" i="4"/>
  <c r="X75" i="4"/>
  <c r="X68" i="4"/>
  <c r="X69" i="4"/>
  <c r="X74" i="4"/>
  <c r="X89" i="4"/>
  <c r="X65" i="4"/>
  <c r="X162" i="4"/>
  <c r="X137" i="4"/>
  <c r="X84" i="4"/>
  <c r="X91" i="4"/>
  <c r="X77" i="4"/>
  <c r="X79" i="4"/>
  <c r="X64" i="4"/>
  <c r="X78" i="4"/>
  <c r="X111" i="4"/>
  <c r="X83" i="4"/>
  <c r="W41" i="4"/>
  <c r="X23" i="4"/>
  <c r="X50" i="4"/>
  <c r="X39" i="4"/>
  <c r="X22" i="4"/>
  <c r="X37" i="4"/>
  <c r="X20" i="4"/>
  <c r="X30" i="4"/>
  <c r="X13" i="4"/>
  <c r="X27" i="4"/>
  <c r="X35" i="4"/>
  <c r="X18" i="4"/>
  <c r="X16" i="4"/>
  <c r="X21" i="4"/>
  <c r="X51" i="4"/>
  <c r="X38" i="4"/>
  <c r="X15" i="4"/>
  <c r="X26" i="4"/>
  <c r="X14" i="4"/>
  <c r="X36" i="4"/>
  <c r="X17" i="4"/>
  <c r="X31" i="4"/>
  <c r="X32" i="4"/>
  <c r="X33" i="4"/>
  <c r="X34" i="4"/>
  <c r="X25" i="4"/>
  <c r="X24" i="4"/>
  <c r="X19" i="4"/>
  <c r="W53" i="4"/>
  <c r="W227" i="4"/>
  <c r="W206" i="4"/>
  <c r="W185" i="4"/>
  <c r="W164" i="4"/>
  <c r="Z2" i="4"/>
  <c r="Y3" i="4"/>
  <c r="Y364" i="4" s="1"/>
  <c r="X332" i="4" l="1"/>
  <c r="X248" i="4"/>
  <c r="X311" i="4"/>
  <c r="X143" i="4"/>
  <c r="X269" i="4"/>
  <c r="X290" i="4"/>
  <c r="W379" i="4"/>
  <c r="Y377" i="4"/>
  <c r="Z375" i="4"/>
  <c r="Z374" i="4"/>
  <c r="Y129" i="4"/>
  <c r="Y125" i="4"/>
  <c r="Y128" i="4"/>
  <c r="Y337" i="4"/>
  <c r="Y126" i="4"/>
  <c r="Y130" i="4"/>
  <c r="Y133" i="4"/>
  <c r="Y131" i="4"/>
  <c r="Y127" i="4"/>
  <c r="Y132" i="4"/>
  <c r="Y134" i="4"/>
  <c r="Y356" i="4"/>
  <c r="Y358" i="4" s="1"/>
  <c r="Y174" i="4"/>
  <c r="Y330" i="4"/>
  <c r="Y297" i="4"/>
  <c r="Y171" i="4"/>
  <c r="Y318" i="4"/>
  <c r="Y183" i="4"/>
  <c r="Y170" i="4"/>
  <c r="Y329" i="4"/>
  <c r="Y328" i="4"/>
  <c r="Y167" i="4"/>
  <c r="Y181" i="4"/>
  <c r="Y317" i="4"/>
  <c r="Y320" i="4"/>
  <c r="Y301" i="4"/>
  <c r="Y169" i="4"/>
  <c r="Y302" i="4"/>
  <c r="Y182" i="4"/>
  <c r="Y315" i="4"/>
  <c r="Y322" i="4"/>
  <c r="Y296" i="4"/>
  <c r="Y323" i="4"/>
  <c r="Y293" i="4"/>
  <c r="Y321" i="4"/>
  <c r="Y305" i="4"/>
  <c r="Y176" i="4"/>
  <c r="Y314" i="4"/>
  <c r="Y319" i="4"/>
  <c r="Y306" i="4"/>
  <c r="Y212" i="4"/>
  <c r="Y327" i="4"/>
  <c r="Y316" i="4"/>
  <c r="Y308" i="4"/>
  <c r="Y211" i="4"/>
  <c r="Y173" i="4"/>
  <c r="Y179" i="4"/>
  <c r="Y326" i="4"/>
  <c r="Y221" i="4"/>
  <c r="Y222" i="4"/>
  <c r="Y217" i="4"/>
  <c r="Y214" i="4"/>
  <c r="Y193" i="4"/>
  <c r="Y190" i="4"/>
  <c r="Y203" i="4"/>
  <c r="Y201" i="4"/>
  <c r="Y196" i="4"/>
  <c r="Y294" i="4"/>
  <c r="Y225" i="4"/>
  <c r="Y172" i="4"/>
  <c r="Y175" i="4"/>
  <c r="Y213" i="4"/>
  <c r="Y215" i="4"/>
  <c r="Y224" i="4"/>
  <c r="Y216" i="4"/>
  <c r="Y188" i="4"/>
  <c r="Y202" i="4"/>
  <c r="Y191" i="4"/>
  <c r="Y209" i="4"/>
  <c r="Y194" i="4"/>
  <c r="Y204" i="4"/>
  <c r="Y300" i="4"/>
  <c r="Y195" i="4"/>
  <c r="Y192" i="4"/>
  <c r="Y298" i="4"/>
  <c r="Y309" i="4"/>
  <c r="Y299" i="4"/>
  <c r="Y197" i="4"/>
  <c r="Y295" i="4"/>
  <c r="Y218" i="4"/>
  <c r="Y307" i="4"/>
  <c r="Y223" i="4"/>
  <c r="Y200" i="4"/>
  <c r="Y168" i="4"/>
  <c r="Y210" i="4"/>
  <c r="Y180" i="4"/>
  <c r="Y189" i="4"/>
  <c r="Y340" i="4"/>
  <c r="Y346" i="4"/>
  <c r="Y339" i="4"/>
  <c r="Y338" i="4"/>
  <c r="Y341" i="4"/>
  <c r="Y345" i="4"/>
  <c r="Y369" i="4"/>
  <c r="Y242" i="4"/>
  <c r="Y274" i="4"/>
  <c r="Y280" i="4"/>
  <c r="Y232" i="4"/>
  <c r="Y256" i="4"/>
  <c r="Y284" i="4"/>
  <c r="Y233" i="4"/>
  <c r="Y245" i="4"/>
  <c r="Y257" i="4"/>
  <c r="Y275" i="4"/>
  <c r="Y230" i="4"/>
  <c r="Y234" i="4"/>
  <c r="Y251" i="4"/>
  <c r="Y267" i="4"/>
  <c r="Y286" i="4"/>
  <c r="Y278" i="4"/>
  <c r="Y246" i="4"/>
  <c r="Y255" i="4"/>
  <c r="Y263" i="4"/>
  <c r="Y285" i="4"/>
  <c r="Y237" i="4"/>
  <c r="Y276" i="4"/>
  <c r="Y258" i="4"/>
  <c r="Y272" i="4"/>
  <c r="Y235" i="4"/>
  <c r="Y238" i="4"/>
  <c r="Y254" i="4"/>
  <c r="Y265" i="4"/>
  <c r="Y277" i="4"/>
  <c r="Y287" i="4"/>
  <c r="Y236" i="4"/>
  <c r="Y239" i="4"/>
  <c r="Y259" i="4"/>
  <c r="Y273" i="4"/>
  <c r="Y288" i="4"/>
  <c r="Y266" i="4"/>
  <c r="Y253" i="4"/>
  <c r="Y264" i="4"/>
  <c r="Y231" i="4"/>
  <c r="Y252" i="4"/>
  <c r="Y260" i="4"/>
  <c r="Y244" i="4"/>
  <c r="Y243" i="4"/>
  <c r="Y281" i="4"/>
  <c r="Y279" i="4"/>
  <c r="Y344" i="4"/>
  <c r="Y342" i="4"/>
  <c r="Y343" i="4"/>
  <c r="X348" i="4"/>
  <c r="X117" i="4"/>
  <c r="Y160" i="4"/>
  <c r="Y139" i="4"/>
  <c r="Y158" i="4"/>
  <c r="Y146" i="4"/>
  <c r="Y137" i="4"/>
  <c r="Y151" i="4"/>
  <c r="Y153" i="4"/>
  <c r="Y155" i="4"/>
  <c r="Y147" i="4"/>
  <c r="Y73" i="4"/>
  <c r="Y88" i="4"/>
  <c r="Y102" i="4"/>
  <c r="Y154" i="4"/>
  <c r="Y140" i="4"/>
  <c r="Y74" i="4"/>
  <c r="Y77" i="4"/>
  <c r="Y152" i="4"/>
  <c r="Y76" i="4"/>
  <c r="Y89" i="4"/>
  <c r="Y92" i="4"/>
  <c r="Y95" i="4"/>
  <c r="Y100" i="4"/>
  <c r="Y113" i="4"/>
  <c r="Y72" i="4"/>
  <c r="Y85" i="4"/>
  <c r="Y149" i="4"/>
  <c r="Y90" i="4"/>
  <c r="Y101" i="4"/>
  <c r="Y99" i="4"/>
  <c r="Y159" i="4"/>
  <c r="Y122" i="4"/>
  <c r="Y79" i="4"/>
  <c r="Y91" i="4"/>
  <c r="Y65" i="4"/>
  <c r="Y94" i="4"/>
  <c r="Y93" i="4"/>
  <c r="Y87" i="4"/>
  <c r="Y75" i="4"/>
  <c r="Y78" i="4"/>
  <c r="Y62" i="4"/>
  <c r="Y83" i="4"/>
  <c r="Y64" i="4"/>
  <c r="Y86" i="4"/>
  <c r="Y107" i="4"/>
  <c r="Y115" i="4"/>
  <c r="Y67" i="4"/>
  <c r="Y108" i="4"/>
  <c r="Y66" i="4"/>
  <c r="Y148" i="4"/>
  <c r="Y150" i="4"/>
  <c r="Y112" i="4"/>
  <c r="Y109" i="4"/>
  <c r="Y63" i="4"/>
  <c r="Y114" i="4"/>
  <c r="Y110" i="4"/>
  <c r="Y141" i="4"/>
  <c r="Y103" i="4"/>
  <c r="Y98" i="4"/>
  <c r="Y162" i="4"/>
  <c r="Y138" i="4"/>
  <c r="Y84" i="4"/>
  <c r="Y106" i="4"/>
  <c r="Y68" i="4"/>
  <c r="Y69" i="4"/>
  <c r="Y161" i="4"/>
  <c r="Y111" i="4"/>
  <c r="X41" i="4"/>
  <c r="Y24" i="4"/>
  <c r="Y23" i="4"/>
  <c r="Y32" i="4"/>
  <c r="Y15" i="4"/>
  <c r="Y27" i="4"/>
  <c r="Y37" i="4"/>
  <c r="Y20" i="4"/>
  <c r="Y30" i="4"/>
  <c r="Y13" i="4"/>
  <c r="Y17" i="4"/>
  <c r="Y16" i="4"/>
  <c r="Y22" i="4"/>
  <c r="Y33" i="4"/>
  <c r="Y39" i="4"/>
  <c r="Y50" i="4"/>
  <c r="Y38" i="4"/>
  <c r="Y25" i="4"/>
  <c r="Y51" i="4"/>
  <c r="Y36" i="4"/>
  <c r="Y14" i="4"/>
  <c r="Y21" i="4"/>
  <c r="Y31" i="4"/>
  <c r="Y18" i="4"/>
  <c r="Y26" i="4"/>
  <c r="Y34" i="4"/>
  <c r="Y19" i="4"/>
  <c r="Y35" i="4"/>
  <c r="X53" i="4"/>
  <c r="X227" i="4"/>
  <c r="X206" i="4"/>
  <c r="X185" i="4"/>
  <c r="X164" i="4"/>
  <c r="AA2" i="4"/>
  <c r="Z3" i="4"/>
  <c r="Z364" i="4" s="1"/>
  <c r="Y290" i="4" l="1"/>
  <c r="Y311" i="4"/>
  <c r="Y332" i="4"/>
  <c r="Y269" i="4"/>
  <c r="Y248" i="4"/>
  <c r="Y143" i="4"/>
  <c r="Z377" i="4"/>
  <c r="X379" i="4"/>
  <c r="AA375" i="4"/>
  <c r="AA374" i="4"/>
  <c r="Z127" i="4"/>
  <c r="Z126" i="4"/>
  <c r="Z134" i="4"/>
  <c r="Z125" i="4"/>
  <c r="Z128" i="4"/>
  <c r="Z337" i="4"/>
  <c r="Z132" i="4"/>
  <c r="Z129" i="4"/>
  <c r="Z133" i="4"/>
  <c r="Z131" i="4"/>
  <c r="Z130" i="4"/>
  <c r="Z356" i="4"/>
  <c r="Z358" i="4" s="1"/>
  <c r="Z179" i="4"/>
  <c r="Z174" i="4"/>
  <c r="Z314" i="4"/>
  <c r="Z319" i="4"/>
  <c r="Z321" i="4"/>
  <c r="Z180" i="4"/>
  <c r="Z172" i="4"/>
  <c r="Z316" i="4"/>
  <c r="Z181" i="4"/>
  <c r="Z176" i="4"/>
  <c r="Z173" i="4"/>
  <c r="Z327" i="4"/>
  <c r="Z322" i="4"/>
  <c r="Z175" i="4"/>
  <c r="Z168" i="4"/>
  <c r="Z329" i="4"/>
  <c r="Z318" i="4"/>
  <c r="Z298" i="4"/>
  <c r="Z293" i="4"/>
  <c r="Z171" i="4"/>
  <c r="Z328" i="4"/>
  <c r="Z308" i="4"/>
  <c r="Z183" i="4"/>
  <c r="Z167" i="4"/>
  <c r="Z170" i="4"/>
  <c r="Z320" i="4"/>
  <c r="Z224" i="4"/>
  <c r="Z169" i="4"/>
  <c r="Z213" i="4"/>
  <c r="Z299" i="4"/>
  <c r="Z216" i="4"/>
  <c r="Z218" i="4"/>
  <c r="Z211" i="4"/>
  <c r="Z302" i="4"/>
  <c r="Z309" i="4"/>
  <c r="Z330" i="4"/>
  <c r="Z296" i="4"/>
  <c r="Z300" i="4"/>
  <c r="Z217" i="4"/>
  <c r="Z317" i="4"/>
  <c r="Z221" i="4"/>
  <c r="Z193" i="4"/>
  <c r="Z209" i="4"/>
  <c r="Z189" i="4"/>
  <c r="Z190" i="4"/>
  <c r="Z225" i="4"/>
  <c r="Z301" i="4"/>
  <c r="Z210" i="4"/>
  <c r="Z182" i="4"/>
  <c r="Z214" i="4"/>
  <c r="Z297" i="4"/>
  <c r="Z204" i="4"/>
  <c r="Z323" i="4"/>
  <c r="Z194" i="4"/>
  <c r="Z196" i="4"/>
  <c r="Z201" i="4"/>
  <c r="Z306" i="4"/>
  <c r="Z188" i="4"/>
  <c r="Z295" i="4"/>
  <c r="Z200" i="4"/>
  <c r="Z197" i="4"/>
  <c r="Z212" i="4"/>
  <c r="Z305" i="4"/>
  <c r="Z195" i="4"/>
  <c r="Z202" i="4"/>
  <c r="Z307" i="4"/>
  <c r="Z223" i="4"/>
  <c r="Z203" i="4"/>
  <c r="Z294" i="4"/>
  <c r="Z192" i="4"/>
  <c r="Z315" i="4"/>
  <c r="Z191" i="4"/>
  <c r="Z326" i="4"/>
  <c r="Z222" i="4"/>
  <c r="Z215" i="4"/>
  <c r="Z346" i="4"/>
  <c r="Z340" i="4"/>
  <c r="Z339" i="4"/>
  <c r="Z338" i="4"/>
  <c r="Z341" i="4"/>
  <c r="Z345" i="4"/>
  <c r="Z369" i="4"/>
  <c r="Z234" i="4"/>
  <c r="Z245" i="4"/>
  <c r="Z255" i="4"/>
  <c r="Z259" i="4"/>
  <c r="Z266" i="4"/>
  <c r="Z257" i="4"/>
  <c r="Z277" i="4"/>
  <c r="Z232" i="4"/>
  <c r="Z231" i="4"/>
  <c r="Z263" i="4"/>
  <c r="Z251" i="4"/>
  <c r="Z238" i="4"/>
  <c r="Z253" i="4"/>
  <c r="Z235" i="4"/>
  <c r="Z265" i="4"/>
  <c r="Z272" i="4"/>
  <c r="Z286" i="4"/>
  <c r="Z236" i="4"/>
  <c r="Z280" i="4"/>
  <c r="Z244" i="4"/>
  <c r="Z287" i="4"/>
  <c r="Z275" i="4"/>
  <c r="Z258" i="4"/>
  <c r="Z288" i="4"/>
  <c r="Z273" i="4"/>
  <c r="Z285" i="4"/>
  <c r="Z267" i="4"/>
  <c r="Z279" i="4"/>
  <c r="Z278" i="4"/>
  <c r="Z233" i="4"/>
  <c r="Z276" i="4"/>
  <c r="Z264" i="4"/>
  <c r="Z284" i="4"/>
  <c r="Z242" i="4"/>
  <c r="Z243" i="4"/>
  <c r="Z281" i="4"/>
  <c r="Z254" i="4"/>
  <c r="Z237" i="4"/>
  <c r="Z230" i="4"/>
  <c r="Z239" i="4"/>
  <c r="Z256" i="4"/>
  <c r="Z252" i="4"/>
  <c r="Z246" i="4"/>
  <c r="Z274" i="4"/>
  <c r="Z260" i="4"/>
  <c r="Z344" i="4"/>
  <c r="Z342" i="4"/>
  <c r="Z343" i="4"/>
  <c r="Y348" i="4"/>
  <c r="Z161" i="4"/>
  <c r="Z140" i="4"/>
  <c r="Z159" i="4"/>
  <c r="Z138" i="4"/>
  <c r="Z122" i="4"/>
  <c r="Z139" i="4"/>
  <c r="Z74" i="4"/>
  <c r="Z89" i="4"/>
  <c r="Z103" i="4"/>
  <c r="Z148" i="4"/>
  <c r="Z149" i="4"/>
  <c r="Z162" i="4"/>
  <c r="Z137" i="4"/>
  <c r="Z78" i="4"/>
  <c r="Z83" i="4"/>
  <c r="Z86" i="4"/>
  <c r="Z114" i="4"/>
  <c r="Z160" i="4"/>
  <c r="Z151" i="4"/>
  <c r="Z141" i="4"/>
  <c r="Z87" i="4"/>
  <c r="Z158" i="4"/>
  <c r="Z73" i="4"/>
  <c r="Z77" i="4"/>
  <c r="Z62" i="4"/>
  <c r="Z65" i="4"/>
  <c r="Z154" i="4"/>
  <c r="Z88" i="4"/>
  <c r="Z90" i="4"/>
  <c r="Z101" i="4"/>
  <c r="Z113" i="4"/>
  <c r="Z76" i="4"/>
  <c r="Z112" i="4"/>
  <c r="Z92" i="4"/>
  <c r="Z93" i="4"/>
  <c r="Z95" i="4"/>
  <c r="Z79" i="4"/>
  <c r="Z91" i="4"/>
  <c r="Z98" i="4"/>
  <c r="Z100" i="4"/>
  <c r="Z68" i="4"/>
  <c r="Z75" i="4"/>
  <c r="Z102" i="4"/>
  <c r="Z153" i="4"/>
  <c r="Z72" i="4"/>
  <c r="Z84" i="4"/>
  <c r="Z85" i="4"/>
  <c r="Z111" i="4"/>
  <c r="Z64" i="4"/>
  <c r="Z155" i="4"/>
  <c r="Z107" i="4"/>
  <c r="Z115" i="4"/>
  <c r="Z67" i="4"/>
  <c r="Z108" i="4"/>
  <c r="Z66" i="4"/>
  <c r="Z94" i="4"/>
  <c r="Z150" i="4"/>
  <c r="Z152" i="4"/>
  <c r="Z147" i="4"/>
  <c r="Z146" i="4"/>
  <c r="Z109" i="4"/>
  <c r="Z63" i="4"/>
  <c r="Z110" i="4"/>
  <c r="Z99" i="4"/>
  <c r="Z106" i="4"/>
  <c r="Z69" i="4"/>
  <c r="Y117" i="4"/>
  <c r="Y41" i="4"/>
  <c r="Z30" i="4"/>
  <c r="Z13" i="4"/>
  <c r="Z25" i="4"/>
  <c r="Z24" i="4"/>
  <c r="Z39" i="4"/>
  <c r="Z22" i="4"/>
  <c r="Z32" i="4"/>
  <c r="Z15" i="4"/>
  <c r="Z37" i="4"/>
  <c r="Z20" i="4"/>
  <c r="Z35" i="4"/>
  <c r="Z17" i="4"/>
  <c r="Z51" i="4"/>
  <c r="Z34" i="4"/>
  <c r="Z33" i="4"/>
  <c r="Z16" i="4"/>
  <c r="Z50" i="4"/>
  <c r="Z36" i="4"/>
  <c r="Z31" i="4"/>
  <c r="Z38" i="4"/>
  <c r="Z18" i="4"/>
  <c r="Z23" i="4"/>
  <c r="Z21" i="4"/>
  <c r="Z27" i="4"/>
  <c r="Z19" i="4"/>
  <c r="Z26" i="4"/>
  <c r="Z14" i="4"/>
  <c r="Y53" i="4"/>
  <c r="Y227" i="4"/>
  <c r="Y206" i="4"/>
  <c r="Y185" i="4"/>
  <c r="Y164" i="4"/>
  <c r="AB2" i="4"/>
  <c r="AA3" i="4"/>
  <c r="AA364" i="4" s="1"/>
  <c r="Z269" i="4" l="1"/>
  <c r="Z311" i="4"/>
  <c r="Z290" i="4"/>
  <c r="Z248" i="4"/>
  <c r="Z143" i="4"/>
  <c r="Z332" i="4"/>
  <c r="AA377" i="4"/>
  <c r="Y379" i="4"/>
  <c r="AB375" i="4"/>
  <c r="AB374" i="4"/>
  <c r="Z348" i="4"/>
  <c r="AA337" i="4"/>
  <c r="AA133" i="4"/>
  <c r="AA128" i="4"/>
  <c r="AA125" i="4"/>
  <c r="AA131" i="4"/>
  <c r="AA126" i="4"/>
  <c r="AA130" i="4"/>
  <c r="AA127" i="4"/>
  <c r="AA132" i="4"/>
  <c r="AA129" i="4"/>
  <c r="AA134" i="4"/>
  <c r="AA356" i="4"/>
  <c r="AA358" i="4" s="1"/>
  <c r="AA320" i="4"/>
  <c r="AA315" i="4"/>
  <c r="AA169" i="4"/>
  <c r="AA175" i="4"/>
  <c r="AA174" i="4"/>
  <c r="AA170" i="4"/>
  <c r="AA167" i="4"/>
  <c r="AA173" i="4"/>
  <c r="AA319" i="4"/>
  <c r="AA168" i="4"/>
  <c r="AA293" i="4"/>
  <c r="AA176" i="4"/>
  <c r="AA321" i="4"/>
  <c r="AA314" i="4"/>
  <c r="AA306" i="4"/>
  <c r="AA327" i="4"/>
  <c r="AA326" i="4"/>
  <c r="AA302" i="4"/>
  <c r="AA171" i="4"/>
  <c r="AA179" i="4"/>
  <c r="AA299" i="4"/>
  <c r="AA330" i="4"/>
  <c r="AA328" i="4"/>
  <c r="AA309" i="4"/>
  <c r="AA181" i="4"/>
  <c r="AA172" i="4"/>
  <c r="AA210" i="4"/>
  <c r="AA193" i="4"/>
  <c r="AA316" i="4"/>
  <c r="AA317" i="4"/>
  <c r="AA217" i="4"/>
  <c r="AA213" i="4"/>
  <c r="AA180" i="4"/>
  <c r="AA329" i="4"/>
  <c r="AA298" i="4"/>
  <c r="AA300" i="4"/>
  <c r="AA211" i="4"/>
  <c r="AA295" i="4"/>
  <c r="AA221" i="4"/>
  <c r="AA212" i="4"/>
  <c r="AA195" i="4"/>
  <c r="AA201" i="4"/>
  <c r="AA190" i="4"/>
  <c r="AA192" i="4"/>
  <c r="AA196" i="4"/>
  <c r="AA200" i="4"/>
  <c r="AA218" i="4"/>
  <c r="AA294" i="4"/>
  <c r="AA222" i="4"/>
  <c r="AA189" i="4"/>
  <c r="AA183" i="4"/>
  <c r="AA308" i="4"/>
  <c r="AA301" i="4"/>
  <c r="AA224" i="4"/>
  <c r="AA297" i="4"/>
  <c r="AA307" i="4"/>
  <c r="AA182" i="4"/>
  <c r="AA323" i="4"/>
  <c r="AA191" i="4"/>
  <c r="AA296" i="4"/>
  <c r="AA214" i="4"/>
  <c r="AA209" i="4"/>
  <c r="AA216" i="4"/>
  <c r="AA188" i="4"/>
  <c r="AA305" i="4"/>
  <c r="AA225" i="4"/>
  <c r="AA215" i="4"/>
  <c r="AA202" i="4"/>
  <c r="AA223" i="4"/>
  <c r="AA204" i="4"/>
  <c r="AA203" i="4"/>
  <c r="AA322" i="4"/>
  <c r="AA194" i="4"/>
  <c r="AA197" i="4"/>
  <c r="AA318" i="4"/>
  <c r="AA339" i="4"/>
  <c r="AA345" i="4"/>
  <c r="AA338" i="4"/>
  <c r="AA340" i="4"/>
  <c r="AA346" i="4"/>
  <c r="AA341" i="4"/>
  <c r="AA369" i="4"/>
  <c r="AA233" i="4"/>
  <c r="AA260" i="4"/>
  <c r="AA256" i="4"/>
  <c r="AA258" i="4"/>
  <c r="AA231" i="4"/>
  <c r="AA238" i="4"/>
  <c r="AA239" i="4"/>
  <c r="AA246" i="4"/>
  <c r="AA277" i="4"/>
  <c r="AA237" i="4"/>
  <c r="AA242" i="4"/>
  <c r="AA257" i="4"/>
  <c r="AA276" i="4"/>
  <c r="AA286" i="4"/>
  <c r="AA245" i="4"/>
  <c r="AA235" i="4"/>
  <c r="AA259" i="4"/>
  <c r="AA267" i="4"/>
  <c r="AA234" i="4"/>
  <c r="AA236" i="4"/>
  <c r="AA252" i="4"/>
  <c r="AA264" i="4"/>
  <c r="AA274" i="4"/>
  <c r="AA285" i="4"/>
  <c r="AA278" i="4"/>
  <c r="AA287" i="4"/>
  <c r="AA244" i="4"/>
  <c r="AA265" i="4"/>
  <c r="AA279" i="4"/>
  <c r="AA288" i="4"/>
  <c r="AA275" i="4"/>
  <c r="AA243" i="4"/>
  <c r="AA255" i="4"/>
  <c r="AA230" i="4"/>
  <c r="AA266" i="4"/>
  <c r="AA281" i="4"/>
  <c r="AA284" i="4"/>
  <c r="AA254" i="4"/>
  <c r="AA251" i="4"/>
  <c r="AA273" i="4"/>
  <c r="AA232" i="4"/>
  <c r="AA263" i="4"/>
  <c r="AA253" i="4"/>
  <c r="AA280" i="4"/>
  <c r="AA272" i="4"/>
  <c r="AA344" i="4"/>
  <c r="AA343" i="4"/>
  <c r="AA342" i="4"/>
  <c r="Z53" i="4"/>
  <c r="AA162" i="4"/>
  <c r="AA141" i="4"/>
  <c r="AA160" i="4"/>
  <c r="AA139" i="4"/>
  <c r="AA148" i="4"/>
  <c r="AA150" i="4"/>
  <c r="AA159" i="4"/>
  <c r="AA146" i="4"/>
  <c r="AA75" i="4"/>
  <c r="AA90" i="4"/>
  <c r="AA106" i="4"/>
  <c r="AA140" i="4"/>
  <c r="AA147" i="4"/>
  <c r="AA115" i="4"/>
  <c r="AA62" i="4"/>
  <c r="AA153" i="4"/>
  <c r="AA155" i="4"/>
  <c r="AA151" i="4"/>
  <c r="AA161" i="4"/>
  <c r="AA92" i="4"/>
  <c r="AA103" i="4"/>
  <c r="AA107" i="4"/>
  <c r="AA66" i="4"/>
  <c r="AA158" i="4"/>
  <c r="AA73" i="4"/>
  <c r="AA77" i="4"/>
  <c r="AA65" i="4"/>
  <c r="AA88" i="4"/>
  <c r="AA89" i="4"/>
  <c r="AA67" i="4"/>
  <c r="AA69" i="4"/>
  <c r="AA122" i="4"/>
  <c r="AA76" i="4"/>
  <c r="AA112" i="4"/>
  <c r="AA79" i="4"/>
  <c r="AA91" i="4"/>
  <c r="AA72" i="4"/>
  <c r="AA86" i="4"/>
  <c r="AA94" i="4"/>
  <c r="AA99" i="4"/>
  <c r="AA78" i="4"/>
  <c r="AA98" i="4"/>
  <c r="AA100" i="4"/>
  <c r="AA101" i="4"/>
  <c r="AA137" i="4"/>
  <c r="AA83" i="4"/>
  <c r="AA84" i="4"/>
  <c r="AA85" i="4"/>
  <c r="AA111" i="4"/>
  <c r="AA64" i="4"/>
  <c r="AA87" i="4"/>
  <c r="AA93" i="4"/>
  <c r="AA152" i="4"/>
  <c r="AA154" i="4"/>
  <c r="AA108" i="4"/>
  <c r="AA102" i="4"/>
  <c r="AA95" i="4"/>
  <c r="AA109" i="4"/>
  <c r="AA63" i="4"/>
  <c r="AA113" i="4"/>
  <c r="AA74" i="4"/>
  <c r="AA110" i="4"/>
  <c r="AA138" i="4"/>
  <c r="AA114" i="4"/>
  <c r="AA68" i="4"/>
  <c r="AA149" i="4"/>
  <c r="Z117" i="4"/>
  <c r="AA31" i="4"/>
  <c r="AA14" i="4"/>
  <c r="AA26" i="4"/>
  <c r="AA30" i="4"/>
  <c r="AA13" i="4"/>
  <c r="AA25" i="4"/>
  <c r="AA34" i="4"/>
  <c r="AA17" i="4"/>
  <c r="AA39" i="4"/>
  <c r="AA22" i="4"/>
  <c r="AA32" i="4"/>
  <c r="AA15" i="4"/>
  <c r="AA36" i="4"/>
  <c r="AA35" i="4"/>
  <c r="AA21" i="4"/>
  <c r="AA51" i="4"/>
  <c r="AA19" i="4"/>
  <c r="AA16" i="4"/>
  <c r="AA50" i="4"/>
  <c r="AA20" i="4"/>
  <c r="AA33" i="4"/>
  <c r="AA37" i="4"/>
  <c r="AA23" i="4"/>
  <c r="AA38" i="4"/>
  <c r="AA24" i="4"/>
  <c r="AA27" i="4"/>
  <c r="AA18" i="4"/>
  <c r="Z41" i="4"/>
  <c r="Z227" i="4"/>
  <c r="Z206" i="4"/>
  <c r="Z185" i="4"/>
  <c r="Z164" i="4"/>
  <c r="AC2" i="4"/>
  <c r="AB3" i="4"/>
  <c r="AB364" i="4" s="1"/>
  <c r="AA269" i="4" l="1"/>
  <c r="AA143" i="4"/>
  <c r="AA290" i="4"/>
  <c r="AA311" i="4"/>
  <c r="AA248" i="4"/>
  <c r="AA332" i="4"/>
  <c r="AB377" i="4"/>
  <c r="Z379" i="4"/>
  <c r="AC375" i="4"/>
  <c r="AC374" i="4"/>
  <c r="AB125" i="4"/>
  <c r="AB132" i="4"/>
  <c r="AB131" i="4"/>
  <c r="AB130" i="4"/>
  <c r="AB126" i="4"/>
  <c r="AB337" i="4"/>
  <c r="AB128" i="4"/>
  <c r="AB129" i="4"/>
  <c r="AB127" i="4"/>
  <c r="AB133" i="4"/>
  <c r="AB134" i="4"/>
  <c r="AB356" i="4"/>
  <c r="AB358" i="4" s="1"/>
  <c r="AB172" i="4"/>
  <c r="AB182" i="4"/>
  <c r="AB317" i="4"/>
  <c r="AB318" i="4"/>
  <c r="AB181" i="4"/>
  <c r="AB176" i="4"/>
  <c r="AB171" i="4"/>
  <c r="AB322" i="4"/>
  <c r="AB327" i="4"/>
  <c r="AB179" i="4"/>
  <c r="AB167" i="4"/>
  <c r="AB326" i="4"/>
  <c r="AB174" i="4"/>
  <c r="AB328" i="4"/>
  <c r="AB293" i="4"/>
  <c r="AB180" i="4"/>
  <c r="AB323" i="4"/>
  <c r="AB329" i="4"/>
  <c r="AB308" i="4"/>
  <c r="AB302" i="4"/>
  <c r="AB169" i="4"/>
  <c r="AB314" i="4"/>
  <c r="AB315" i="4"/>
  <c r="AB297" i="4"/>
  <c r="AB168" i="4"/>
  <c r="AB319" i="4"/>
  <c r="AB309" i="4"/>
  <c r="AB294" i="4"/>
  <c r="AB216" i="4"/>
  <c r="AB203" i="4"/>
  <c r="AB183" i="4"/>
  <c r="AB316" i="4"/>
  <c r="AB218" i="4"/>
  <c r="AB175" i="4"/>
  <c r="AB209" i="4"/>
  <c r="AB299" i="4"/>
  <c r="AB225" i="4"/>
  <c r="AB215" i="4"/>
  <c r="AB305" i="4"/>
  <c r="AB330" i="4"/>
  <c r="AB307" i="4"/>
  <c r="AB170" i="4"/>
  <c r="AB320" i="4"/>
  <c r="AB217" i="4"/>
  <c r="AB223" i="4"/>
  <c r="AB173" i="4"/>
  <c r="AB190" i="4"/>
  <c r="AB192" i="4"/>
  <c r="AB194" i="4"/>
  <c r="AB195" i="4"/>
  <c r="AB191" i="4"/>
  <c r="AB295" i="4"/>
  <c r="AB196" i="4"/>
  <c r="AB197" i="4"/>
  <c r="AB222" i="4"/>
  <c r="AB200" i="4"/>
  <c r="AB210" i="4"/>
  <c r="AB201" i="4"/>
  <c r="AB213" i="4"/>
  <c r="AB212" i="4"/>
  <c r="AB211" i="4"/>
  <c r="AB300" i="4"/>
  <c r="AB306" i="4"/>
  <c r="AB296" i="4"/>
  <c r="AB221" i="4"/>
  <c r="AB204" i="4"/>
  <c r="AB193" i="4"/>
  <c r="AB188" i="4"/>
  <c r="AB301" i="4"/>
  <c r="AB214" i="4"/>
  <c r="AB321" i="4"/>
  <c r="AB224" i="4"/>
  <c r="AB298" i="4"/>
  <c r="AB202" i="4"/>
  <c r="AB189" i="4"/>
  <c r="AB345" i="4"/>
  <c r="AB341" i="4"/>
  <c r="AB346" i="4"/>
  <c r="AB338" i="4"/>
  <c r="AB339" i="4"/>
  <c r="AB340" i="4"/>
  <c r="AB369" i="4"/>
  <c r="AB243" i="4"/>
  <c r="AB272" i="4"/>
  <c r="AB231" i="4"/>
  <c r="AB236" i="4"/>
  <c r="AB280" i="4"/>
  <c r="AB258" i="4"/>
  <c r="AB265" i="4"/>
  <c r="AB274" i="4"/>
  <c r="AB277" i="4"/>
  <c r="AB254" i="4"/>
  <c r="AB288" i="4"/>
  <c r="AB281" i="4"/>
  <c r="AB275" i="4"/>
  <c r="AB245" i="4"/>
  <c r="AB230" i="4"/>
  <c r="AB239" i="4"/>
  <c r="AB279" i="4"/>
  <c r="AB273" i="4"/>
  <c r="AB276" i="4"/>
  <c r="AB284" i="4"/>
  <c r="AB237" i="4"/>
  <c r="AB267" i="4"/>
  <c r="AB286" i="4"/>
  <c r="AB257" i="4"/>
  <c r="AB242" i="4"/>
  <c r="AB253" i="4"/>
  <c r="AB252" i="4"/>
  <c r="AB260" i="4"/>
  <c r="AB232" i="4"/>
  <c r="AB244" i="4"/>
  <c r="AB235" i="4"/>
  <c r="AB266" i="4"/>
  <c r="AB263" i="4"/>
  <c r="AB287" i="4"/>
  <c r="AB234" i="4"/>
  <c r="AB285" i="4"/>
  <c r="AB251" i="4"/>
  <c r="AB256" i="4"/>
  <c r="AB259" i="4"/>
  <c r="AB233" i="4"/>
  <c r="AB278" i="4"/>
  <c r="AB238" i="4"/>
  <c r="AB246" i="4"/>
  <c r="AB264" i="4"/>
  <c r="AB255" i="4"/>
  <c r="AB342" i="4"/>
  <c r="AB344" i="4"/>
  <c r="AB343" i="4"/>
  <c r="AA348" i="4"/>
  <c r="AB161" i="4"/>
  <c r="AB140" i="4"/>
  <c r="AB152" i="4"/>
  <c r="AB154" i="4"/>
  <c r="AB76" i="4"/>
  <c r="AB91" i="4"/>
  <c r="AB107" i="4"/>
  <c r="AB147" i="4"/>
  <c r="AB141" i="4"/>
  <c r="AB150" i="4"/>
  <c r="AB155" i="4"/>
  <c r="AB109" i="4"/>
  <c r="AB63" i="4"/>
  <c r="AB158" i="4"/>
  <c r="AB160" i="4"/>
  <c r="AB75" i="4"/>
  <c r="AB79" i="4"/>
  <c r="AB153" i="4"/>
  <c r="AB138" i="4"/>
  <c r="AB83" i="4"/>
  <c r="AB94" i="4"/>
  <c r="AB67" i="4"/>
  <c r="AB92" i="4"/>
  <c r="AB103" i="4"/>
  <c r="AB62" i="4"/>
  <c r="AB66" i="4"/>
  <c r="AB73" i="4"/>
  <c r="AB111" i="4"/>
  <c r="AB112" i="4"/>
  <c r="AB159" i="4"/>
  <c r="AB88" i="4"/>
  <c r="AB89" i="4"/>
  <c r="AB90" i="4"/>
  <c r="AB65" i="4"/>
  <c r="AB69" i="4"/>
  <c r="AB122" i="4"/>
  <c r="AB87" i="4"/>
  <c r="AB93" i="4"/>
  <c r="AB95" i="4"/>
  <c r="AB113" i="4"/>
  <c r="AB72" i="4"/>
  <c r="AB86" i="4"/>
  <c r="AB99" i="4"/>
  <c r="AB162" i="4"/>
  <c r="AB74" i="4"/>
  <c r="AB77" i="4"/>
  <c r="AB106" i="4"/>
  <c r="AB68" i="4"/>
  <c r="AB137" i="4"/>
  <c r="AB84" i="4"/>
  <c r="AB85" i="4"/>
  <c r="AB100" i="4"/>
  <c r="AB115" i="4"/>
  <c r="AB64" i="4"/>
  <c r="AB108" i="4"/>
  <c r="AB148" i="4"/>
  <c r="AB139" i="4"/>
  <c r="AB101" i="4"/>
  <c r="AB151" i="4"/>
  <c r="AB102" i="4"/>
  <c r="AB146" i="4"/>
  <c r="AB98" i="4"/>
  <c r="AB110" i="4"/>
  <c r="AB78" i="4"/>
  <c r="AB114" i="4"/>
  <c r="AB149" i="4"/>
  <c r="AA53" i="4"/>
  <c r="AA117" i="4"/>
  <c r="AA41" i="4"/>
  <c r="AB32" i="4"/>
  <c r="AB15" i="4"/>
  <c r="AB27" i="4"/>
  <c r="AB31" i="4"/>
  <c r="AB14" i="4"/>
  <c r="AB26" i="4"/>
  <c r="AB50" i="4"/>
  <c r="AB24" i="4"/>
  <c r="AB22" i="4"/>
  <c r="AB34" i="4"/>
  <c r="AB17" i="4"/>
  <c r="AB39" i="4"/>
  <c r="AB23" i="4"/>
  <c r="AB36" i="4"/>
  <c r="AB16" i="4"/>
  <c r="AB35" i="4"/>
  <c r="AB19" i="4"/>
  <c r="AB25" i="4"/>
  <c r="AB51" i="4"/>
  <c r="AB20" i="4"/>
  <c r="AB13" i="4"/>
  <c r="AB30" i="4"/>
  <c r="AB37" i="4"/>
  <c r="AB38" i="4"/>
  <c r="AB21" i="4"/>
  <c r="AB18" i="4"/>
  <c r="AB33" i="4"/>
  <c r="AA227" i="4"/>
  <c r="AA206" i="4"/>
  <c r="AA185" i="4"/>
  <c r="AA164" i="4"/>
  <c r="AD2" i="4"/>
  <c r="AC3" i="4"/>
  <c r="AC364" i="4" s="1"/>
  <c r="AB311" i="4" l="1"/>
  <c r="AB143" i="4"/>
  <c r="AB269" i="4"/>
  <c r="AB332" i="4"/>
  <c r="AB248" i="4"/>
  <c r="AB290" i="4"/>
  <c r="AC377" i="4"/>
  <c r="AA379" i="4"/>
  <c r="AD375" i="4"/>
  <c r="AD374" i="4"/>
  <c r="AB348" i="4"/>
  <c r="AC133" i="4"/>
  <c r="AC126" i="4"/>
  <c r="AC134" i="4"/>
  <c r="AC132" i="4"/>
  <c r="AC337" i="4"/>
  <c r="AC130" i="4"/>
  <c r="AC125" i="4"/>
  <c r="AC131" i="4"/>
  <c r="AC129" i="4"/>
  <c r="AC127" i="4"/>
  <c r="AC128" i="4"/>
  <c r="AC356" i="4"/>
  <c r="AC358" i="4" s="1"/>
  <c r="AC169" i="4"/>
  <c r="AC173" i="4"/>
  <c r="AC318" i="4"/>
  <c r="AC327" i="4"/>
  <c r="AC179" i="4"/>
  <c r="AC167" i="4"/>
  <c r="AC175" i="4"/>
  <c r="AC326" i="4"/>
  <c r="AC172" i="4"/>
  <c r="AC182" i="4"/>
  <c r="AC319" i="4"/>
  <c r="AC314" i="4"/>
  <c r="AC180" i="4"/>
  <c r="AC330" i="4"/>
  <c r="AC307" i="4"/>
  <c r="AC170" i="4"/>
  <c r="AC295" i="4"/>
  <c r="AC322" i="4"/>
  <c r="AC301" i="4"/>
  <c r="AC299" i="4"/>
  <c r="AC328" i="4"/>
  <c r="AC323" i="4"/>
  <c r="AC294" i="4"/>
  <c r="AC305" i="4"/>
  <c r="AC298" i="4"/>
  <c r="AC174" i="4"/>
  <c r="AC329" i="4"/>
  <c r="AC215" i="4"/>
  <c r="AC194" i="4"/>
  <c r="AC204" i="4"/>
  <c r="AC181" i="4"/>
  <c r="AC321" i="4"/>
  <c r="AC293" i="4"/>
  <c r="AC213" i="4"/>
  <c r="AC316" i="4"/>
  <c r="AC317" i="4"/>
  <c r="AC297" i="4"/>
  <c r="AC209" i="4"/>
  <c r="AC212" i="4"/>
  <c r="AC211" i="4"/>
  <c r="AC171" i="4"/>
  <c r="AC315" i="4"/>
  <c r="AC309" i="4"/>
  <c r="AC188" i="4"/>
  <c r="AC191" i="4"/>
  <c r="AC217" i="4"/>
  <c r="AC223" i="4"/>
  <c r="AC320" i="4"/>
  <c r="AC218" i="4"/>
  <c r="AC221" i="4"/>
  <c r="AC176" i="4"/>
  <c r="AC195" i="4"/>
  <c r="AC300" i="4"/>
  <c r="AC225" i="4"/>
  <c r="AC200" i="4"/>
  <c r="AC202" i="4"/>
  <c r="AC203" i="4"/>
  <c r="AC196" i="4"/>
  <c r="AC189" i="4"/>
  <c r="AC168" i="4"/>
  <c r="AC302" i="4"/>
  <c r="AC210" i="4"/>
  <c r="AC216" i="4"/>
  <c r="AC190" i="4"/>
  <c r="AC224" i="4"/>
  <c r="AC222" i="4"/>
  <c r="AC183" i="4"/>
  <c r="AC214" i="4"/>
  <c r="AC201" i="4"/>
  <c r="AC197" i="4"/>
  <c r="AC193" i="4"/>
  <c r="AC306" i="4"/>
  <c r="AC308" i="4"/>
  <c r="AC296" i="4"/>
  <c r="AC192" i="4"/>
  <c r="AC339" i="4"/>
  <c r="AC345" i="4"/>
  <c r="AC340" i="4"/>
  <c r="AC341" i="4"/>
  <c r="AC338" i="4"/>
  <c r="AC346" i="4"/>
  <c r="AC369" i="4"/>
  <c r="AC244" i="4"/>
  <c r="AC242" i="4"/>
  <c r="AC267" i="4"/>
  <c r="AC255" i="4"/>
  <c r="AC237" i="4"/>
  <c r="AC259" i="4"/>
  <c r="AC272" i="4"/>
  <c r="AC284" i="4"/>
  <c r="AC238" i="4"/>
  <c r="AC252" i="4"/>
  <c r="AC276" i="4"/>
  <c r="AC280" i="4"/>
  <c r="AC277" i="4"/>
  <c r="AC245" i="4"/>
  <c r="AC246" i="4"/>
  <c r="AC265" i="4"/>
  <c r="AC288" i="4"/>
  <c r="AC279" i="4"/>
  <c r="AC234" i="4"/>
  <c r="AC230" i="4"/>
  <c r="AC264" i="4"/>
  <c r="AC253" i="4"/>
  <c r="AC275" i="4"/>
  <c r="AC278" i="4"/>
  <c r="AC273" i="4"/>
  <c r="AC260" i="4"/>
  <c r="AC266" i="4"/>
  <c r="AC256" i="4"/>
  <c r="AC274" i="4"/>
  <c r="AC285" i="4"/>
  <c r="AC235" i="4"/>
  <c r="AC281" i="4"/>
  <c r="AC231" i="4"/>
  <c r="AC233" i="4"/>
  <c r="AC243" i="4"/>
  <c r="AC236" i="4"/>
  <c r="AC286" i="4"/>
  <c r="AC239" i="4"/>
  <c r="AC263" i="4"/>
  <c r="AC257" i="4"/>
  <c r="AC251" i="4"/>
  <c r="AC232" i="4"/>
  <c r="AC258" i="4"/>
  <c r="AC254" i="4"/>
  <c r="AC287" i="4"/>
  <c r="AC343" i="4"/>
  <c r="AC344" i="4"/>
  <c r="AC342" i="4"/>
  <c r="AB117" i="4"/>
  <c r="AC162" i="4"/>
  <c r="AC141" i="4"/>
  <c r="AC158" i="4"/>
  <c r="AC146" i="4"/>
  <c r="AC137" i="4"/>
  <c r="AC161" i="4"/>
  <c r="AC77" i="4"/>
  <c r="AC92" i="4"/>
  <c r="AC108" i="4"/>
  <c r="AC159" i="4"/>
  <c r="AC151" i="4"/>
  <c r="AC155" i="4"/>
  <c r="AC78" i="4"/>
  <c r="AC93" i="4"/>
  <c r="AC98" i="4"/>
  <c r="AC101" i="4"/>
  <c r="AC106" i="4"/>
  <c r="AC64" i="4"/>
  <c r="AC160" i="4"/>
  <c r="AC147" i="4"/>
  <c r="AC149" i="4"/>
  <c r="AC140" i="4"/>
  <c r="AC72" i="4"/>
  <c r="AC85" i="4"/>
  <c r="AC109" i="4"/>
  <c r="AC111" i="4"/>
  <c r="AC114" i="4"/>
  <c r="AC68" i="4"/>
  <c r="AC138" i="4"/>
  <c r="AC83" i="4"/>
  <c r="AC94" i="4"/>
  <c r="AC107" i="4"/>
  <c r="AC67" i="4"/>
  <c r="AC89" i="4"/>
  <c r="AC73" i="4"/>
  <c r="AC76" i="4"/>
  <c r="AC88" i="4"/>
  <c r="AC90" i="4"/>
  <c r="AC87" i="4"/>
  <c r="AC95" i="4"/>
  <c r="AC113" i="4"/>
  <c r="AC62" i="4"/>
  <c r="AC75" i="4"/>
  <c r="AC79" i="4"/>
  <c r="AC99" i="4"/>
  <c r="AC69" i="4"/>
  <c r="AC153" i="4"/>
  <c r="AC74" i="4"/>
  <c r="AC86" i="4"/>
  <c r="AC122" i="4"/>
  <c r="AC84" i="4"/>
  <c r="AC100" i="4"/>
  <c r="AC66" i="4"/>
  <c r="AC148" i="4"/>
  <c r="AC150" i="4"/>
  <c r="AC139" i="4"/>
  <c r="AC152" i="4"/>
  <c r="AC112" i="4"/>
  <c r="AC115" i="4"/>
  <c r="AC102" i="4"/>
  <c r="AC63" i="4"/>
  <c r="AC154" i="4"/>
  <c r="AC65" i="4"/>
  <c r="AC103" i="4"/>
  <c r="AC91" i="4"/>
  <c r="AC110" i="4"/>
  <c r="AB53" i="4"/>
  <c r="AC33" i="4"/>
  <c r="AC16" i="4"/>
  <c r="AC32" i="4"/>
  <c r="AC15" i="4"/>
  <c r="AC27" i="4"/>
  <c r="AC36" i="4"/>
  <c r="AC19" i="4"/>
  <c r="AC50" i="4"/>
  <c r="AC24" i="4"/>
  <c r="AC34" i="4"/>
  <c r="AC17" i="4"/>
  <c r="AC30" i="4"/>
  <c r="AC18" i="4"/>
  <c r="AC23" i="4"/>
  <c r="AC39" i="4"/>
  <c r="AC22" i="4"/>
  <c r="AC35" i="4"/>
  <c r="AC25" i="4"/>
  <c r="AC37" i="4"/>
  <c r="AC51" i="4"/>
  <c r="AC20" i="4"/>
  <c r="AC13" i="4"/>
  <c r="AC38" i="4"/>
  <c r="AC21" i="4"/>
  <c r="AC31" i="4"/>
  <c r="AC14" i="4"/>
  <c r="AC26" i="4"/>
  <c r="AB41" i="4"/>
  <c r="AB227" i="4"/>
  <c r="AB206" i="4"/>
  <c r="AB185" i="4"/>
  <c r="AB164" i="4"/>
  <c r="AE2" i="4"/>
  <c r="AD3" i="4"/>
  <c r="AD364" i="4" s="1"/>
  <c r="AC332" i="4" l="1"/>
  <c r="AC290" i="4"/>
  <c r="AC143" i="4"/>
  <c r="AC311" i="4"/>
  <c r="AC248" i="4"/>
  <c r="AC269" i="4"/>
  <c r="AD377" i="4"/>
  <c r="AB379" i="4"/>
  <c r="AE375" i="4"/>
  <c r="AE374" i="4"/>
  <c r="AD128" i="4"/>
  <c r="AD134" i="4"/>
  <c r="AD126" i="4"/>
  <c r="AD125" i="4"/>
  <c r="AD131" i="4"/>
  <c r="AD337" i="4"/>
  <c r="AD129" i="4"/>
  <c r="AD130" i="4"/>
  <c r="AD133" i="4"/>
  <c r="AD127" i="4"/>
  <c r="AD132" i="4"/>
  <c r="AD356" i="4"/>
  <c r="AD358" i="4" s="1"/>
  <c r="AD169" i="4"/>
  <c r="AD320" i="4"/>
  <c r="AD176" i="4"/>
  <c r="AD322" i="4"/>
  <c r="AD175" i="4"/>
  <c r="AD171" i="4"/>
  <c r="AD167" i="4"/>
  <c r="AD182" i="4"/>
  <c r="AD170" i="4"/>
  <c r="AD168" i="4"/>
  <c r="AD327" i="4"/>
  <c r="AD318" i="4"/>
  <c r="AD323" i="4"/>
  <c r="AD213" i="4"/>
  <c r="AD181" i="4"/>
  <c r="AD315" i="4"/>
  <c r="AD309" i="4"/>
  <c r="AD173" i="4"/>
  <c r="AD317" i="4"/>
  <c r="AD302" i="4"/>
  <c r="AD316" i="4"/>
  <c r="AD314" i="4"/>
  <c r="AD299" i="4"/>
  <c r="AD294" i="4"/>
  <c r="AD308" i="4"/>
  <c r="AD298" i="4"/>
  <c r="AD224" i="4"/>
  <c r="AD210" i="4"/>
  <c r="AD330" i="4"/>
  <c r="AD328" i="4"/>
  <c r="AD307" i="4"/>
  <c r="AD179" i="4"/>
  <c r="AD218" i="4"/>
  <c r="AD183" i="4"/>
  <c r="AD305" i="4"/>
  <c r="AD211" i="4"/>
  <c r="AD329" i="4"/>
  <c r="AD293" i="4"/>
  <c r="AD222" i="4"/>
  <c r="AD223" i="4"/>
  <c r="AD203" i="4"/>
  <c r="AD172" i="4"/>
  <c r="AD295" i="4"/>
  <c r="AD301" i="4"/>
  <c r="AD296" i="4"/>
  <c r="AD215" i="4"/>
  <c r="AD180" i="4"/>
  <c r="AD306" i="4"/>
  <c r="AD214" i="4"/>
  <c r="AD188" i="4"/>
  <c r="AD201" i="4"/>
  <c r="AD216" i="4"/>
  <c r="AD319" i="4"/>
  <c r="AD174" i="4"/>
  <c r="AD326" i="4"/>
  <c r="AD225" i="4"/>
  <c r="AD197" i="4"/>
  <c r="AD202" i="4"/>
  <c r="AD193" i="4"/>
  <c r="AD195" i="4"/>
  <c r="AD190" i="4"/>
  <c r="AD300" i="4"/>
  <c r="AD297" i="4"/>
  <c r="AD321" i="4"/>
  <c r="AD192" i="4"/>
  <c r="AD189" i="4"/>
  <c r="AD204" i="4"/>
  <c r="AD209" i="4"/>
  <c r="AD194" i="4"/>
  <c r="AD217" i="4"/>
  <c r="AD221" i="4"/>
  <c r="AD200" i="4"/>
  <c r="AD212" i="4"/>
  <c r="AD196" i="4"/>
  <c r="AD191" i="4"/>
  <c r="AD339" i="4"/>
  <c r="AD345" i="4"/>
  <c r="AD346" i="4"/>
  <c r="AD341" i="4"/>
  <c r="AD338" i="4"/>
  <c r="AD340" i="4"/>
  <c r="AD369" i="4"/>
  <c r="AD264" i="4"/>
  <c r="AD256" i="4"/>
  <c r="AD274" i="4"/>
  <c r="AD286" i="4"/>
  <c r="AD245" i="4"/>
  <c r="AD259" i="4"/>
  <c r="AD255" i="4"/>
  <c r="AD287" i="4"/>
  <c r="AD272" i="4"/>
  <c r="AD239" i="4"/>
  <c r="AD231" i="4"/>
  <c r="AD253" i="4"/>
  <c r="AD285" i="4"/>
  <c r="AD232" i="4"/>
  <c r="AD254" i="4"/>
  <c r="AD288" i="4"/>
  <c r="AD230" i="4"/>
  <c r="AD260" i="4"/>
  <c r="AD281" i="4"/>
  <c r="AD275" i="4"/>
  <c r="AD273" i="4"/>
  <c r="AD277" i="4"/>
  <c r="AD278" i="4"/>
  <c r="AD246" i="4"/>
  <c r="AD265" i="4"/>
  <c r="AD252" i="4"/>
  <c r="AD236" i="4"/>
  <c r="AD266" i="4"/>
  <c r="AD237" i="4"/>
  <c r="AD267" i="4"/>
  <c r="AD284" i="4"/>
  <c r="AD235" i="4"/>
  <c r="AD258" i="4"/>
  <c r="AD242" i="4"/>
  <c r="AD251" i="4"/>
  <c r="AD257" i="4"/>
  <c r="AD276" i="4"/>
  <c r="AD233" i="4"/>
  <c r="AD238" i="4"/>
  <c r="AD244" i="4"/>
  <c r="AD243" i="4"/>
  <c r="AD234" i="4"/>
  <c r="AD263" i="4"/>
  <c r="AD280" i="4"/>
  <c r="AD279" i="4"/>
  <c r="AD343" i="4"/>
  <c r="AD342" i="4"/>
  <c r="AD344" i="4"/>
  <c r="AC348" i="4"/>
  <c r="AD148" i="4"/>
  <c r="AD150" i="4"/>
  <c r="AD155" i="4"/>
  <c r="AD138" i="4"/>
  <c r="AD78" i="4"/>
  <c r="AD93" i="4"/>
  <c r="AD109" i="4"/>
  <c r="AD139" i="4"/>
  <c r="AD72" i="4"/>
  <c r="AD75" i="4"/>
  <c r="AD141" i="4"/>
  <c r="AD73" i="4"/>
  <c r="AD84" i="4"/>
  <c r="AD87" i="4"/>
  <c r="AD90" i="4"/>
  <c r="AD76" i="4"/>
  <c r="AD98" i="4"/>
  <c r="AD69" i="4"/>
  <c r="AD161" i="4"/>
  <c r="AD147" i="4"/>
  <c r="AD149" i="4"/>
  <c r="AD140" i="4"/>
  <c r="AD85" i="4"/>
  <c r="AD111" i="4"/>
  <c r="AD114" i="4"/>
  <c r="AD68" i="4"/>
  <c r="AD160" i="4"/>
  <c r="AD83" i="4"/>
  <c r="AD110" i="4"/>
  <c r="AD115" i="4"/>
  <c r="AD64" i="4"/>
  <c r="AD67" i="4"/>
  <c r="AD158" i="4"/>
  <c r="AD159" i="4"/>
  <c r="AD122" i="4"/>
  <c r="AD79" i="4"/>
  <c r="AD91" i="4"/>
  <c r="AD112" i="4"/>
  <c r="AD94" i="4"/>
  <c r="AD151" i="4"/>
  <c r="AD162" i="4"/>
  <c r="AD77" i="4"/>
  <c r="AD92" i="4"/>
  <c r="AD99" i="4"/>
  <c r="AD106" i="4"/>
  <c r="AD153" i="4"/>
  <c r="AD137" i="4"/>
  <c r="AD74" i="4"/>
  <c r="AD62" i="4"/>
  <c r="AD86" i="4"/>
  <c r="AD107" i="4"/>
  <c r="AD88" i="4"/>
  <c r="AD101" i="4"/>
  <c r="AD66" i="4"/>
  <c r="AD100" i="4"/>
  <c r="AD152" i="4"/>
  <c r="AD95" i="4"/>
  <c r="AD146" i="4"/>
  <c r="AD102" i="4"/>
  <c r="AD108" i="4"/>
  <c r="AD89" i="4"/>
  <c r="AD113" i="4"/>
  <c r="AD154" i="4"/>
  <c r="AD65" i="4"/>
  <c r="AD103" i="4"/>
  <c r="AD63" i="4"/>
  <c r="AC117" i="4"/>
  <c r="AC53" i="4"/>
  <c r="AD34" i="4"/>
  <c r="AD17" i="4"/>
  <c r="AD33" i="4"/>
  <c r="AD16" i="4"/>
  <c r="AD26" i="4"/>
  <c r="AD50" i="4"/>
  <c r="AD36" i="4"/>
  <c r="AD19" i="4"/>
  <c r="AD24" i="4"/>
  <c r="AD31" i="4"/>
  <c r="AD30" i="4"/>
  <c r="AD18" i="4"/>
  <c r="AD35" i="4"/>
  <c r="AD27" i="4"/>
  <c r="AD15" i="4"/>
  <c r="AD22" i="4"/>
  <c r="AD25" i="4"/>
  <c r="AD32" i="4"/>
  <c r="AD13" i="4"/>
  <c r="AD51" i="4"/>
  <c r="AD20" i="4"/>
  <c r="AD37" i="4"/>
  <c r="AD39" i="4"/>
  <c r="AD21" i="4"/>
  <c r="AD23" i="4"/>
  <c r="AD14" i="4"/>
  <c r="AD38" i="4"/>
  <c r="AC41" i="4"/>
  <c r="AC227" i="4"/>
  <c r="AC206" i="4"/>
  <c r="AC185" i="4"/>
  <c r="AC164" i="4"/>
  <c r="AF2" i="4"/>
  <c r="AE3" i="4"/>
  <c r="AE364" i="4" s="1"/>
  <c r="AD311" i="4" l="1"/>
  <c r="AD269" i="4"/>
  <c r="AD143" i="4"/>
  <c r="AD332" i="4"/>
  <c r="AD290" i="4"/>
  <c r="AD248" i="4"/>
  <c r="AE377" i="4"/>
  <c r="AC379" i="4"/>
  <c r="AF375" i="4"/>
  <c r="AF374" i="4"/>
  <c r="AD348" i="4"/>
  <c r="AE126" i="4"/>
  <c r="AE133" i="4"/>
  <c r="AE129" i="4"/>
  <c r="AE132" i="4"/>
  <c r="AE337" i="4"/>
  <c r="AE130" i="4"/>
  <c r="AE125" i="4"/>
  <c r="AE134" i="4"/>
  <c r="AE128" i="4"/>
  <c r="AE127" i="4"/>
  <c r="AE131" i="4"/>
  <c r="AE356" i="4"/>
  <c r="AE358" i="4" s="1"/>
  <c r="AE167" i="4"/>
  <c r="AE169" i="4"/>
  <c r="AE326" i="4"/>
  <c r="AE317" i="4"/>
  <c r="AE183" i="4"/>
  <c r="AE180" i="4"/>
  <c r="AE170" i="4"/>
  <c r="AE182" i="4"/>
  <c r="AE330" i="4"/>
  <c r="AE321" i="4"/>
  <c r="AE329" i="4"/>
  <c r="AE314" i="4"/>
  <c r="AE316" i="4"/>
  <c r="AE327" i="4"/>
  <c r="AE294" i="4"/>
  <c r="AE173" i="4"/>
  <c r="AE306" i="4"/>
  <c r="AE181" i="4"/>
  <c r="AE179" i="4"/>
  <c r="AE298" i="4"/>
  <c r="AE322" i="4"/>
  <c r="AE295" i="4"/>
  <c r="AE300" i="4"/>
  <c r="AE175" i="4"/>
  <c r="AE174" i="4"/>
  <c r="AE328" i="4"/>
  <c r="AE297" i="4"/>
  <c r="AE302" i="4"/>
  <c r="AE309" i="4"/>
  <c r="AE301" i="4"/>
  <c r="AE305" i="4"/>
  <c r="AE221" i="4"/>
  <c r="AE210" i="4"/>
  <c r="AE203" i="4"/>
  <c r="AE293" i="4"/>
  <c r="AE319" i="4"/>
  <c r="AE323" i="4"/>
  <c r="AE222" i="4"/>
  <c r="AE168" i="4"/>
  <c r="AE176" i="4"/>
  <c r="AE307" i="4"/>
  <c r="AE211" i="4"/>
  <c r="AE200" i="4"/>
  <c r="AE189" i="4"/>
  <c r="AE194" i="4"/>
  <c r="AE202" i="4"/>
  <c r="AE190" i="4"/>
  <c r="AE188" i="4"/>
  <c r="AE315" i="4"/>
  <c r="AE224" i="4"/>
  <c r="AE216" i="4"/>
  <c r="AE308" i="4"/>
  <c r="AE318" i="4"/>
  <c r="AE209" i="4"/>
  <c r="AE320" i="4"/>
  <c r="AE299" i="4"/>
  <c r="AE204" i="4"/>
  <c r="AE214" i="4"/>
  <c r="AE172" i="4"/>
  <c r="AE215" i="4"/>
  <c r="AE171" i="4"/>
  <c r="AE213" i="4"/>
  <c r="AE212" i="4"/>
  <c r="AE193" i="4"/>
  <c r="AE195" i="4"/>
  <c r="AE196" i="4"/>
  <c r="AE201" i="4"/>
  <c r="AE192" i="4"/>
  <c r="AE191" i="4"/>
  <c r="AE218" i="4"/>
  <c r="AE197" i="4"/>
  <c r="AE296" i="4"/>
  <c r="AE223" i="4"/>
  <c r="AE217" i="4"/>
  <c r="AE225" i="4"/>
  <c r="AE346" i="4"/>
  <c r="AE341" i="4"/>
  <c r="AE340" i="4"/>
  <c r="AE339" i="4"/>
  <c r="AE345" i="4"/>
  <c r="AE338" i="4"/>
  <c r="AE369" i="4"/>
  <c r="AE267" i="4"/>
  <c r="AE274" i="4"/>
  <c r="AE280" i="4"/>
  <c r="AE244" i="4"/>
  <c r="AE230" i="4"/>
  <c r="AE287" i="4"/>
  <c r="AE236" i="4"/>
  <c r="AE265" i="4"/>
  <c r="AE285" i="4"/>
  <c r="AE279" i="4"/>
  <c r="AE231" i="4"/>
  <c r="AE238" i="4"/>
  <c r="AE284" i="4"/>
  <c r="AE278" i="4"/>
  <c r="AE242" i="4"/>
  <c r="AE255" i="4"/>
  <c r="AE257" i="4"/>
  <c r="AE275" i="4"/>
  <c r="AE276" i="4"/>
  <c r="AE272" i="4"/>
  <c r="AE233" i="4"/>
  <c r="AE260" i="4"/>
  <c r="AE253" i="4"/>
  <c r="AE246" i="4"/>
  <c r="AE252" i="4"/>
  <c r="AE281" i="4"/>
  <c r="AE232" i="4"/>
  <c r="AE245" i="4"/>
  <c r="AE259" i="4"/>
  <c r="AE263" i="4"/>
  <c r="AE277" i="4"/>
  <c r="AE254" i="4"/>
  <c r="AE235" i="4"/>
  <c r="AE237" i="4"/>
  <c r="AE239" i="4"/>
  <c r="AE266" i="4"/>
  <c r="AE264" i="4"/>
  <c r="AE256" i="4"/>
  <c r="AE273" i="4"/>
  <c r="AE251" i="4"/>
  <c r="AE286" i="4"/>
  <c r="AE243" i="4"/>
  <c r="AE258" i="4"/>
  <c r="AE288" i="4"/>
  <c r="AE234" i="4"/>
  <c r="AE344" i="4"/>
  <c r="AE343" i="4"/>
  <c r="AE342" i="4"/>
  <c r="AE160" i="4"/>
  <c r="AE139" i="4"/>
  <c r="AE152" i="4"/>
  <c r="AE154" i="4"/>
  <c r="AE162" i="4"/>
  <c r="AE79" i="4"/>
  <c r="AE94" i="4"/>
  <c r="AE110" i="4"/>
  <c r="AE146" i="4"/>
  <c r="AE161" i="4"/>
  <c r="AE148" i="4"/>
  <c r="AE153" i="4"/>
  <c r="AE138" i="4"/>
  <c r="AE122" i="4"/>
  <c r="AE84" i="4"/>
  <c r="AE155" i="4"/>
  <c r="AE141" i="4"/>
  <c r="AE151" i="4"/>
  <c r="AE87" i="4"/>
  <c r="AE100" i="4"/>
  <c r="AE63" i="4"/>
  <c r="AE72" i="4"/>
  <c r="AE76" i="4"/>
  <c r="AE98" i="4"/>
  <c r="AE109" i="4"/>
  <c r="AE83" i="4"/>
  <c r="AE111" i="4"/>
  <c r="AE115" i="4"/>
  <c r="AE64" i="4"/>
  <c r="AE73" i="4"/>
  <c r="AE88" i="4"/>
  <c r="AE89" i="4"/>
  <c r="AE92" i="4"/>
  <c r="AE65" i="4"/>
  <c r="AE91" i="4"/>
  <c r="AE93" i="4"/>
  <c r="AE112" i="4"/>
  <c r="AE158" i="4"/>
  <c r="AE78" i="4"/>
  <c r="AE114" i="4"/>
  <c r="AE75" i="4"/>
  <c r="AE68" i="4"/>
  <c r="AE69" i="4"/>
  <c r="AE77" i="4"/>
  <c r="AE99" i="4"/>
  <c r="AE106" i="4"/>
  <c r="AE137" i="4"/>
  <c r="AE74" i="4"/>
  <c r="AE85" i="4"/>
  <c r="AE62" i="4"/>
  <c r="AE67" i="4"/>
  <c r="AE150" i="4"/>
  <c r="AE86" i="4"/>
  <c r="AE107" i="4"/>
  <c r="AE159" i="4"/>
  <c r="AE149" i="4"/>
  <c r="AE147" i="4"/>
  <c r="AE90" i="4"/>
  <c r="AE95" i="4"/>
  <c r="AE101" i="4"/>
  <c r="AE140" i="4"/>
  <c r="AE108" i="4"/>
  <c r="AE113" i="4"/>
  <c r="AE103" i="4"/>
  <c r="AE102" i="4"/>
  <c r="AE66" i="4"/>
  <c r="AD117" i="4"/>
  <c r="AD53" i="4"/>
  <c r="AE35" i="4"/>
  <c r="AE18" i="4"/>
  <c r="AE34" i="4"/>
  <c r="AE17" i="4"/>
  <c r="AE38" i="4"/>
  <c r="AE21" i="4"/>
  <c r="AE26" i="4"/>
  <c r="AE36" i="4"/>
  <c r="AE19" i="4"/>
  <c r="AE37" i="4"/>
  <c r="AE31" i="4"/>
  <c r="AE30" i="4"/>
  <c r="AE22" i="4"/>
  <c r="AE16" i="4"/>
  <c r="AE50" i="4"/>
  <c r="AE20" i="4"/>
  <c r="AE25" i="4"/>
  <c r="AE14" i="4"/>
  <c r="AE32" i="4"/>
  <c r="AE33" i="4"/>
  <c r="AE27" i="4"/>
  <c r="AE39" i="4"/>
  <c r="AE23" i="4"/>
  <c r="AE13" i="4"/>
  <c r="AE51" i="4"/>
  <c r="AE15" i="4"/>
  <c r="AE24" i="4"/>
  <c r="AD41" i="4"/>
  <c r="AD227" i="4"/>
  <c r="AD206" i="4"/>
  <c r="AD185" i="4"/>
  <c r="AD164" i="4"/>
  <c r="AG2" i="4"/>
  <c r="AF3" i="4"/>
  <c r="AF364" i="4" s="1"/>
  <c r="AE269" i="4" l="1"/>
  <c r="AE290" i="4"/>
  <c r="AE332" i="4"/>
  <c r="AE143" i="4"/>
  <c r="AE311" i="4"/>
  <c r="AE248" i="4"/>
  <c r="AD379" i="4"/>
  <c r="AF377" i="4"/>
  <c r="AG375" i="4"/>
  <c r="AG374" i="4"/>
  <c r="AE348" i="4"/>
  <c r="AF128" i="4"/>
  <c r="AF126" i="4"/>
  <c r="AF129" i="4"/>
  <c r="AF125" i="4"/>
  <c r="AF133" i="4"/>
  <c r="AF131" i="4"/>
  <c r="AF132" i="4"/>
  <c r="AF127" i="4"/>
  <c r="AF134" i="4"/>
  <c r="AF130" i="4"/>
  <c r="AF337" i="4"/>
  <c r="AF356" i="4"/>
  <c r="AF358" i="4" s="1"/>
  <c r="AF315" i="4"/>
  <c r="AF176" i="4"/>
  <c r="AF179" i="4"/>
  <c r="AF318" i="4"/>
  <c r="AF328" i="4"/>
  <c r="AF183" i="4"/>
  <c r="AF182" i="4"/>
  <c r="AF180" i="4"/>
  <c r="AF320" i="4"/>
  <c r="AF322" i="4"/>
  <c r="AF330" i="4"/>
  <c r="AF181" i="4"/>
  <c r="AF175" i="4"/>
  <c r="AF174" i="4"/>
  <c r="AF314" i="4"/>
  <c r="AF168" i="4"/>
  <c r="AF169" i="4"/>
  <c r="AF321" i="4"/>
  <c r="AF295" i="4"/>
  <c r="AF319" i="4"/>
  <c r="AF293" i="4"/>
  <c r="AF299" i="4"/>
  <c r="AF167" i="4"/>
  <c r="AF327" i="4"/>
  <c r="AF307" i="4"/>
  <c r="AF317" i="4"/>
  <c r="AF329" i="4"/>
  <c r="AF305" i="4"/>
  <c r="AF302" i="4"/>
  <c r="AF215" i="4"/>
  <c r="AF214" i="4"/>
  <c r="AF197" i="4"/>
  <c r="AF188" i="4"/>
  <c r="AF172" i="4"/>
  <c r="AF301" i="4"/>
  <c r="AF300" i="4"/>
  <c r="AF225" i="4"/>
  <c r="AF216" i="4"/>
  <c r="AF326" i="4"/>
  <c r="AF308" i="4"/>
  <c r="AF306" i="4"/>
  <c r="AF296" i="4"/>
  <c r="AF309" i="4"/>
  <c r="AF294" i="4"/>
  <c r="AF212" i="4"/>
  <c r="AF323" i="4"/>
  <c r="AF316" i="4"/>
  <c r="AF210" i="4"/>
  <c r="AF200" i="4"/>
  <c r="AF194" i="4"/>
  <c r="AF195" i="4"/>
  <c r="AF191" i="4"/>
  <c r="AF204" i="4"/>
  <c r="AF218" i="4"/>
  <c r="AF223" i="4"/>
  <c r="AF222" i="4"/>
  <c r="AF213" i="4"/>
  <c r="AF221" i="4"/>
  <c r="AF217" i="4"/>
  <c r="AF171" i="4"/>
  <c r="AF192" i="4"/>
  <c r="AF173" i="4"/>
  <c r="AF196" i="4"/>
  <c r="AF202" i="4"/>
  <c r="AF193" i="4"/>
  <c r="AF190" i="4"/>
  <c r="AF170" i="4"/>
  <c r="AF297" i="4"/>
  <c r="AF211" i="4"/>
  <c r="AF209" i="4"/>
  <c r="AF189" i="4"/>
  <c r="AF224" i="4"/>
  <c r="AF203" i="4"/>
  <c r="AF298" i="4"/>
  <c r="AF201" i="4"/>
  <c r="AF338" i="4"/>
  <c r="AF345" i="4"/>
  <c r="AF340" i="4"/>
  <c r="AF341" i="4"/>
  <c r="AF339" i="4"/>
  <c r="AF346" i="4"/>
  <c r="AF369" i="4"/>
  <c r="AF251" i="4"/>
  <c r="AF254" i="4"/>
  <c r="AF256" i="4"/>
  <c r="AF281" i="4"/>
  <c r="AF272" i="4"/>
  <c r="AF253" i="4"/>
  <c r="AF245" i="4"/>
  <c r="AF231" i="4"/>
  <c r="AF273" i="4"/>
  <c r="AF287" i="4"/>
  <c r="AF233" i="4"/>
  <c r="AF266" i="4"/>
  <c r="AF264" i="4"/>
  <c r="AF265" i="4"/>
  <c r="AF288" i="4"/>
  <c r="AF285" i="4"/>
  <c r="AF236" i="4"/>
  <c r="AF255" i="4"/>
  <c r="AF276" i="4"/>
  <c r="AF259" i="4"/>
  <c r="AF286" i="4"/>
  <c r="AF284" i="4"/>
  <c r="AF267" i="4"/>
  <c r="AF239" i="4"/>
  <c r="AF238" i="4"/>
  <c r="AF230" i="4"/>
  <c r="AF244" i="4"/>
  <c r="AF243" i="4"/>
  <c r="AF258" i="4"/>
  <c r="AF275" i="4"/>
  <c r="AF274" i="4"/>
  <c r="AF277" i="4"/>
  <c r="AF279" i="4"/>
  <c r="AF263" i="4"/>
  <c r="AF280" i="4"/>
  <c r="AF234" i="4"/>
  <c r="AF246" i="4"/>
  <c r="AF242" i="4"/>
  <c r="AF252" i="4"/>
  <c r="AF232" i="4"/>
  <c r="AF237" i="4"/>
  <c r="AF278" i="4"/>
  <c r="AF257" i="4"/>
  <c r="AF235" i="4"/>
  <c r="AF260" i="4"/>
  <c r="AF343" i="4"/>
  <c r="AF344" i="4"/>
  <c r="AF342" i="4"/>
  <c r="AE53" i="4"/>
  <c r="AE117" i="4"/>
  <c r="AF158" i="4"/>
  <c r="AF159" i="4"/>
  <c r="AF160" i="4"/>
  <c r="AF161" i="4"/>
  <c r="AF153" i="4"/>
  <c r="AF154" i="4"/>
  <c r="AF83" i="4"/>
  <c r="AF95" i="4"/>
  <c r="AF148" i="4"/>
  <c r="AF75" i="4"/>
  <c r="AF137" i="4"/>
  <c r="AF139" i="4"/>
  <c r="AF74" i="4"/>
  <c r="AF86" i="4"/>
  <c r="AF122" i="4"/>
  <c r="AF89" i="4"/>
  <c r="AF102" i="4"/>
  <c r="AF151" i="4"/>
  <c r="AF87" i="4"/>
  <c r="AF100" i="4"/>
  <c r="AF63" i="4"/>
  <c r="AF141" i="4"/>
  <c r="AF77" i="4"/>
  <c r="AF84" i="4"/>
  <c r="AF108" i="4"/>
  <c r="AF111" i="4"/>
  <c r="AF115" i="4"/>
  <c r="AF110" i="4"/>
  <c r="AF90" i="4"/>
  <c r="AF69" i="4"/>
  <c r="AF79" i="4"/>
  <c r="AF88" i="4"/>
  <c r="AF92" i="4"/>
  <c r="AF65" i="4"/>
  <c r="AF149" i="4"/>
  <c r="AF140" i="4"/>
  <c r="AF91" i="4"/>
  <c r="AF103" i="4"/>
  <c r="AF72" i="4"/>
  <c r="AF76" i="4"/>
  <c r="AF78" i="4"/>
  <c r="AF114" i="4"/>
  <c r="AF162" i="4"/>
  <c r="AF73" i="4"/>
  <c r="AF68" i="4"/>
  <c r="AF155" i="4"/>
  <c r="AF99" i="4"/>
  <c r="AF106" i="4"/>
  <c r="AF107" i="4"/>
  <c r="AF112" i="4"/>
  <c r="AF85" i="4"/>
  <c r="AF93" i="4"/>
  <c r="AF62" i="4"/>
  <c r="AF64" i="4"/>
  <c r="AF67" i="4"/>
  <c r="AF138" i="4"/>
  <c r="AF147" i="4"/>
  <c r="AF152" i="4"/>
  <c r="AF109" i="4"/>
  <c r="AF94" i="4"/>
  <c r="AF101" i="4"/>
  <c r="AF66" i="4"/>
  <c r="AF113" i="4"/>
  <c r="AF98" i="4"/>
  <c r="AF146" i="4"/>
  <c r="AF150" i="4"/>
  <c r="AF36" i="4"/>
  <c r="AF19" i="4"/>
  <c r="AF35" i="4"/>
  <c r="AF18" i="4"/>
  <c r="AF31" i="4"/>
  <c r="AF14" i="4"/>
  <c r="AF21" i="4"/>
  <c r="AF38" i="4"/>
  <c r="AF26" i="4"/>
  <c r="AF13" i="4"/>
  <c r="AF24" i="4"/>
  <c r="AF37" i="4"/>
  <c r="AF23" i="4"/>
  <c r="AF34" i="4"/>
  <c r="AF39" i="4"/>
  <c r="AF27" i="4"/>
  <c r="AF16" i="4"/>
  <c r="AF22" i="4"/>
  <c r="AF30" i="4"/>
  <c r="AF50" i="4"/>
  <c r="AF17" i="4"/>
  <c r="AF25" i="4"/>
  <c r="AF20" i="4"/>
  <c r="AF32" i="4"/>
  <c r="AF51" i="4"/>
  <c r="AF15" i="4"/>
  <c r="AF33" i="4"/>
  <c r="AE41" i="4"/>
  <c r="AE227" i="4"/>
  <c r="AE206" i="4"/>
  <c r="AE185" i="4"/>
  <c r="AE164" i="4"/>
  <c r="AH2" i="4"/>
  <c r="AG3" i="4"/>
  <c r="AG364" i="4" s="1"/>
  <c r="AF269" i="4" l="1"/>
  <c r="AF311" i="4"/>
  <c r="AF248" i="4"/>
  <c r="AF143" i="4"/>
  <c r="AF290" i="4"/>
  <c r="AF332" i="4"/>
  <c r="AG377" i="4"/>
  <c r="AE379" i="4"/>
  <c r="AH375" i="4"/>
  <c r="AH374" i="4"/>
  <c r="AG128" i="4"/>
  <c r="AG134" i="4"/>
  <c r="AG129" i="4"/>
  <c r="AG127" i="4"/>
  <c r="AG131" i="4"/>
  <c r="AG130" i="4"/>
  <c r="AG125" i="4"/>
  <c r="AG132" i="4"/>
  <c r="AG126" i="4"/>
  <c r="AG133" i="4"/>
  <c r="AG337" i="4"/>
  <c r="AG356" i="4"/>
  <c r="AG358" i="4" s="1"/>
  <c r="AG322" i="4"/>
  <c r="AG314" i="4"/>
  <c r="AG319" i="4"/>
  <c r="AG328" i="4"/>
  <c r="AG168" i="4"/>
  <c r="AG323" i="4"/>
  <c r="AG172" i="4"/>
  <c r="AG170" i="4"/>
  <c r="AG321" i="4"/>
  <c r="AG317" i="4"/>
  <c r="AG329" i="4"/>
  <c r="AG181" i="4"/>
  <c r="AG299" i="4"/>
  <c r="AG327" i="4"/>
  <c r="AG320" i="4"/>
  <c r="AG301" i="4"/>
  <c r="AG309" i="4"/>
  <c r="AG296" i="4"/>
  <c r="AG180" i="4"/>
  <c r="AG174" i="4"/>
  <c r="AG173" i="4"/>
  <c r="AG316" i="4"/>
  <c r="AG308" i="4"/>
  <c r="AG175" i="4"/>
  <c r="AG169" i="4"/>
  <c r="AG176" i="4"/>
  <c r="AG294" i="4"/>
  <c r="AG318" i="4"/>
  <c r="AG295" i="4"/>
  <c r="AG293" i="4"/>
  <c r="AG305" i="4"/>
  <c r="AG209" i="4"/>
  <c r="AG182" i="4"/>
  <c r="AG326" i="4"/>
  <c r="AG223" i="4"/>
  <c r="AG218" i="4"/>
  <c r="AG190" i="4"/>
  <c r="AG306" i="4"/>
  <c r="AG222" i="4"/>
  <c r="AG225" i="4"/>
  <c r="AG196" i="4"/>
  <c r="AG201" i="4"/>
  <c r="AG189" i="4"/>
  <c r="AG315" i="4"/>
  <c r="AG300" i="4"/>
  <c r="AG183" i="4"/>
  <c r="AG224" i="4"/>
  <c r="AG215" i="4"/>
  <c r="AG212" i="4"/>
  <c r="AG188" i="4"/>
  <c r="AG330" i="4"/>
  <c r="AG297" i="4"/>
  <c r="AG203" i="4"/>
  <c r="AG221" i="4"/>
  <c r="AG195" i="4"/>
  <c r="AG307" i="4"/>
  <c r="AG204" i="4"/>
  <c r="AG193" i="4"/>
  <c r="AG200" i="4"/>
  <c r="AG194" i="4"/>
  <c r="AG214" i="4"/>
  <c r="AG216" i="4"/>
  <c r="AG210" i="4"/>
  <c r="AG179" i="4"/>
  <c r="AG298" i="4"/>
  <c r="AG167" i="4"/>
  <c r="AG202" i="4"/>
  <c r="AG213" i="4"/>
  <c r="AG192" i="4"/>
  <c r="AG302" i="4"/>
  <c r="AG197" i="4"/>
  <c r="AG211" i="4"/>
  <c r="AG217" i="4"/>
  <c r="AG171" i="4"/>
  <c r="AG191" i="4"/>
  <c r="AG338" i="4"/>
  <c r="AG339" i="4"/>
  <c r="AG346" i="4"/>
  <c r="AG341" i="4"/>
  <c r="AG345" i="4"/>
  <c r="AG340" i="4"/>
  <c r="AG369" i="4"/>
  <c r="AG243" i="4"/>
  <c r="AG234" i="4"/>
  <c r="AG237" i="4"/>
  <c r="AG275" i="4"/>
  <c r="AG245" i="4"/>
  <c r="AG232" i="4"/>
  <c r="AG264" i="4"/>
  <c r="AG276" i="4"/>
  <c r="AG277" i="4"/>
  <c r="AG238" i="4"/>
  <c r="AG244" i="4"/>
  <c r="AG251" i="4"/>
  <c r="AG281" i="4"/>
  <c r="AG230" i="4"/>
  <c r="AG255" i="4"/>
  <c r="AG273" i="4"/>
  <c r="AG278" i="4"/>
  <c r="AG242" i="4"/>
  <c r="AG265" i="4"/>
  <c r="AG288" i="4"/>
  <c r="AG274" i="4"/>
  <c r="AG231" i="4"/>
  <c r="AG266" i="4"/>
  <c r="AG258" i="4"/>
  <c r="AG253" i="4"/>
  <c r="AG280" i="4"/>
  <c r="AG287" i="4"/>
  <c r="AG252" i="4"/>
  <c r="AG246" i="4"/>
  <c r="AG272" i="4"/>
  <c r="AG239" i="4"/>
  <c r="AG236" i="4"/>
  <c r="AG233" i="4"/>
  <c r="AG260" i="4"/>
  <c r="AG263" i="4"/>
  <c r="AG286" i="4"/>
  <c r="AG259" i="4"/>
  <c r="AG254" i="4"/>
  <c r="AG257" i="4"/>
  <c r="AG267" i="4"/>
  <c r="AG235" i="4"/>
  <c r="AG285" i="4"/>
  <c r="AG279" i="4"/>
  <c r="AG284" i="4"/>
  <c r="AG256" i="4"/>
  <c r="AG342" i="4"/>
  <c r="AG343" i="4"/>
  <c r="AG344" i="4"/>
  <c r="AF348" i="4"/>
  <c r="AF117" i="4"/>
  <c r="AG147" i="4"/>
  <c r="AG148" i="4"/>
  <c r="AG149" i="4"/>
  <c r="AG150" i="4"/>
  <c r="AG162" i="4"/>
  <c r="AG141" i="4"/>
  <c r="AG158" i="4"/>
  <c r="AG137" i="4"/>
  <c r="AG84" i="4"/>
  <c r="AG98" i="4"/>
  <c r="AG155" i="4"/>
  <c r="AG138" i="4"/>
  <c r="AG152" i="4"/>
  <c r="AG146" i="4"/>
  <c r="AG159" i="4"/>
  <c r="AG77" i="4"/>
  <c r="AG99" i="4"/>
  <c r="AG102" i="4"/>
  <c r="AG107" i="4"/>
  <c r="AG110" i="4"/>
  <c r="AG78" i="4"/>
  <c r="AG88" i="4"/>
  <c r="AG139" i="4"/>
  <c r="AG153" i="4"/>
  <c r="AG79" i="4"/>
  <c r="AG91" i="4"/>
  <c r="AG112" i="4"/>
  <c r="AG115" i="4"/>
  <c r="AG89" i="4"/>
  <c r="AG140" i="4"/>
  <c r="AG74" i="4"/>
  <c r="AG106" i="4"/>
  <c r="AG109" i="4"/>
  <c r="AG160" i="4"/>
  <c r="AG108" i="4"/>
  <c r="AG83" i="4"/>
  <c r="AG73" i="4"/>
  <c r="AG76" i="4"/>
  <c r="AG67" i="4"/>
  <c r="AG122" i="4"/>
  <c r="AG90" i="4"/>
  <c r="AG151" i="4"/>
  <c r="AG103" i="4"/>
  <c r="AG72" i="4"/>
  <c r="AG75" i="4"/>
  <c r="AG92" i="4"/>
  <c r="AG111" i="4"/>
  <c r="AG114" i="4"/>
  <c r="AG69" i="4"/>
  <c r="AG68" i="4"/>
  <c r="AG85" i="4"/>
  <c r="AG86" i="4"/>
  <c r="AG93" i="4"/>
  <c r="AG100" i="4"/>
  <c r="AG62" i="4"/>
  <c r="AG87" i="4"/>
  <c r="AG64" i="4"/>
  <c r="AG161" i="4"/>
  <c r="AG94" i="4"/>
  <c r="AG101" i="4"/>
  <c r="AG66" i="4"/>
  <c r="AG154" i="4"/>
  <c r="AG113" i="4"/>
  <c r="AG65" i="4"/>
  <c r="AG95" i="4"/>
  <c r="AG63" i="4"/>
  <c r="AF53" i="4"/>
  <c r="AF41" i="4"/>
  <c r="AG51" i="4"/>
  <c r="AG37" i="4"/>
  <c r="AG20" i="4"/>
  <c r="AG36" i="4"/>
  <c r="AG19" i="4"/>
  <c r="AG23" i="4"/>
  <c r="AG21" i="4"/>
  <c r="AG31" i="4"/>
  <c r="AG14" i="4"/>
  <c r="AG38" i="4"/>
  <c r="AG25" i="4"/>
  <c r="AG13" i="4"/>
  <c r="AG24" i="4"/>
  <c r="AG30" i="4"/>
  <c r="AG35" i="4"/>
  <c r="AG15" i="4"/>
  <c r="AG39" i="4"/>
  <c r="AG27" i="4"/>
  <c r="AG16" i="4"/>
  <c r="AG22" i="4"/>
  <c r="AG50" i="4"/>
  <c r="AG17" i="4"/>
  <c r="AG18" i="4"/>
  <c r="AG34" i="4"/>
  <c r="AG33" i="4"/>
  <c r="AG26" i="4"/>
  <c r="AG32" i="4"/>
  <c r="AF227" i="4"/>
  <c r="AF206" i="4"/>
  <c r="AF185" i="4"/>
  <c r="AF164" i="4"/>
  <c r="AI2" i="4"/>
  <c r="AH3" i="4"/>
  <c r="AH364" i="4" s="1"/>
  <c r="AG332" i="4" l="1"/>
  <c r="AG248" i="4"/>
  <c r="AG269" i="4"/>
  <c r="AG311" i="4"/>
  <c r="AG143" i="4"/>
  <c r="AG290" i="4"/>
  <c r="AF379" i="4"/>
  <c r="AH377" i="4"/>
  <c r="AI375" i="4"/>
  <c r="AI374" i="4"/>
  <c r="AH126" i="4"/>
  <c r="AH129" i="4"/>
  <c r="AH130" i="4"/>
  <c r="AH337" i="4"/>
  <c r="AH128" i="4"/>
  <c r="AH134" i="4"/>
  <c r="AH131" i="4"/>
  <c r="AH125" i="4"/>
  <c r="AH127" i="4"/>
  <c r="AH133" i="4"/>
  <c r="AH132" i="4"/>
  <c r="AH356" i="4"/>
  <c r="AH358" i="4" s="1"/>
  <c r="AH323" i="4"/>
  <c r="AH327" i="4"/>
  <c r="AH172" i="4"/>
  <c r="AH320" i="4"/>
  <c r="AH317" i="4"/>
  <c r="AH330" i="4"/>
  <c r="AH171" i="4"/>
  <c r="AH318" i="4"/>
  <c r="AH181" i="4"/>
  <c r="AH176" i="4"/>
  <c r="AH316" i="4"/>
  <c r="AH180" i="4"/>
  <c r="AH173" i="4"/>
  <c r="AH329" i="4"/>
  <c r="AH175" i="4"/>
  <c r="AH321" i="4"/>
  <c r="AH302" i="4"/>
  <c r="AH169" i="4"/>
  <c r="AH182" i="4"/>
  <c r="AH299" i="4"/>
  <c r="AH308" i="4"/>
  <c r="AH216" i="4"/>
  <c r="AH202" i="4"/>
  <c r="AH309" i="4"/>
  <c r="AH298" i="4"/>
  <c r="AH301" i="4"/>
  <c r="AH167" i="4"/>
  <c r="AH314" i="4"/>
  <c r="AH212" i="4"/>
  <c r="AH319" i="4"/>
  <c r="AH306" i="4"/>
  <c r="AH300" i="4"/>
  <c r="AH295" i="4"/>
  <c r="AH210" i="4"/>
  <c r="AH222" i="4"/>
  <c r="AH296" i="4"/>
  <c r="AH297" i="4"/>
  <c r="AH221" i="4"/>
  <c r="AH215" i="4"/>
  <c r="AH194" i="4"/>
  <c r="AH174" i="4"/>
  <c r="AH168" i="4"/>
  <c r="AH179" i="4"/>
  <c r="AH322" i="4"/>
  <c r="AH211" i="4"/>
  <c r="AH170" i="4"/>
  <c r="AH209" i="4"/>
  <c r="AH223" i="4"/>
  <c r="AH200" i="4"/>
  <c r="AH183" i="4"/>
  <c r="AH307" i="4"/>
  <c r="AH294" i="4"/>
  <c r="AH218" i="4"/>
  <c r="AH192" i="4"/>
  <c r="AH203" i="4"/>
  <c r="AH189" i="4"/>
  <c r="AH188" i="4"/>
  <c r="AH190" i="4"/>
  <c r="AH201" i="4"/>
  <c r="AH293" i="4"/>
  <c r="AH326" i="4"/>
  <c r="AH328" i="4"/>
  <c r="AH217" i="4"/>
  <c r="AH214" i="4"/>
  <c r="AH195" i="4"/>
  <c r="AH225" i="4"/>
  <c r="AH204" i="4"/>
  <c r="AH224" i="4"/>
  <c r="AH213" i="4"/>
  <c r="AH315" i="4"/>
  <c r="AH305" i="4"/>
  <c r="AH191" i="4"/>
  <c r="AH193" i="4"/>
  <c r="AH197" i="4"/>
  <c r="AH196" i="4"/>
  <c r="AH341" i="4"/>
  <c r="AH345" i="4"/>
  <c r="AH346" i="4"/>
  <c r="AH339" i="4"/>
  <c r="AH338" i="4"/>
  <c r="AH340" i="4"/>
  <c r="AH369" i="4"/>
  <c r="AH285" i="4"/>
  <c r="AH279" i="4"/>
  <c r="AH232" i="4"/>
  <c r="AH245" i="4"/>
  <c r="AH237" i="4"/>
  <c r="AH265" i="4"/>
  <c r="AH257" i="4"/>
  <c r="AH256" i="4"/>
  <c r="AH288" i="4"/>
  <c r="AH280" i="4"/>
  <c r="AH238" i="4"/>
  <c r="AH236" i="4"/>
  <c r="AH267" i="4"/>
  <c r="AH278" i="4"/>
  <c r="AH239" i="4"/>
  <c r="AH281" i="4"/>
  <c r="AH273" i="4"/>
  <c r="AH230" i="4"/>
  <c r="AH272" i="4"/>
  <c r="AH231" i="4"/>
  <c r="AH263" i="4"/>
  <c r="AH286" i="4"/>
  <c r="AH274" i="4"/>
  <c r="AH252" i="4"/>
  <c r="AH258" i="4"/>
  <c r="AH287" i="4"/>
  <c r="AH253" i="4"/>
  <c r="AH284" i="4"/>
  <c r="AH255" i="4"/>
  <c r="AH235" i="4"/>
  <c r="AH259" i="4"/>
  <c r="AH275" i="4"/>
  <c r="AH260" i="4"/>
  <c r="AH276" i="4"/>
  <c r="AH246" i="4"/>
  <c r="AH243" i="4"/>
  <c r="AH244" i="4"/>
  <c r="AH234" i="4"/>
  <c r="AH264" i="4"/>
  <c r="AH277" i="4"/>
  <c r="AH254" i="4"/>
  <c r="AH233" i="4"/>
  <c r="AH242" i="4"/>
  <c r="AH251" i="4"/>
  <c r="AH266" i="4"/>
  <c r="AH342" i="4"/>
  <c r="AH343" i="4"/>
  <c r="AH344" i="4"/>
  <c r="AG348" i="4"/>
  <c r="AH151" i="4"/>
  <c r="AH152" i="4"/>
  <c r="AH153" i="4"/>
  <c r="AH154" i="4"/>
  <c r="AH155" i="4"/>
  <c r="AH147" i="4"/>
  <c r="AH149" i="4"/>
  <c r="AH160" i="4"/>
  <c r="AH122" i="4"/>
  <c r="AH85" i="4"/>
  <c r="AH99" i="4"/>
  <c r="AH73" i="4"/>
  <c r="AH76" i="4"/>
  <c r="AH79" i="4"/>
  <c r="AH88" i="4"/>
  <c r="AH91" i="4"/>
  <c r="AH94" i="4"/>
  <c r="AH159" i="4"/>
  <c r="AH148" i="4"/>
  <c r="AH150" i="4"/>
  <c r="AH137" i="4"/>
  <c r="AH75" i="4"/>
  <c r="AH106" i="4"/>
  <c r="AH102" i="4"/>
  <c r="AH112" i="4"/>
  <c r="AH115" i="4"/>
  <c r="AH139" i="4"/>
  <c r="AH103" i="4"/>
  <c r="AH107" i="4"/>
  <c r="AH114" i="4"/>
  <c r="AH63" i="4"/>
  <c r="AH66" i="4"/>
  <c r="AH108" i="4"/>
  <c r="AH110" i="4"/>
  <c r="AH140" i="4"/>
  <c r="AH141" i="4"/>
  <c r="AH74" i="4"/>
  <c r="AH77" i="4"/>
  <c r="AH84" i="4"/>
  <c r="AH109" i="4"/>
  <c r="AH158" i="4"/>
  <c r="AH111" i="4"/>
  <c r="AH64" i="4"/>
  <c r="AH89" i="4"/>
  <c r="AH146" i="4"/>
  <c r="AH98" i="4"/>
  <c r="AH78" i="4"/>
  <c r="AH83" i="4"/>
  <c r="AH162" i="4"/>
  <c r="AH72" i="4"/>
  <c r="AH92" i="4"/>
  <c r="AH69" i="4"/>
  <c r="AH87" i="4"/>
  <c r="AH67" i="4"/>
  <c r="AH68" i="4"/>
  <c r="AH86" i="4"/>
  <c r="AH93" i="4"/>
  <c r="AH100" i="4"/>
  <c r="AH138" i="4"/>
  <c r="AH62" i="4"/>
  <c r="AH161" i="4"/>
  <c r="AH101" i="4"/>
  <c r="AH113" i="4"/>
  <c r="AH65" i="4"/>
  <c r="AH90" i="4"/>
  <c r="AH95" i="4"/>
  <c r="AG53" i="4"/>
  <c r="AG117" i="4"/>
  <c r="AH38" i="4"/>
  <c r="AH21" i="4"/>
  <c r="AH51" i="4"/>
  <c r="AH37" i="4"/>
  <c r="AH20" i="4"/>
  <c r="AH33" i="4"/>
  <c r="AH16" i="4"/>
  <c r="AH23" i="4"/>
  <c r="AH31" i="4"/>
  <c r="AH14" i="4"/>
  <c r="AH32" i="4"/>
  <c r="AH25" i="4"/>
  <c r="AH17" i="4"/>
  <c r="AH30" i="4"/>
  <c r="AH24" i="4"/>
  <c r="AH15" i="4"/>
  <c r="AH35" i="4"/>
  <c r="AH39" i="4"/>
  <c r="AH19" i="4"/>
  <c r="AH27" i="4"/>
  <c r="AH50" i="4"/>
  <c r="AH36" i="4"/>
  <c r="AH22" i="4"/>
  <c r="AH26" i="4"/>
  <c r="AH18" i="4"/>
  <c r="AH34" i="4"/>
  <c r="AH13" i="4"/>
  <c r="AG41" i="4"/>
  <c r="AG227" i="4"/>
  <c r="AG206" i="4"/>
  <c r="AG185" i="4"/>
  <c r="AG164" i="4"/>
  <c r="AJ2" i="4"/>
  <c r="AI3" i="4"/>
  <c r="AI364" i="4" s="1"/>
  <c r="AH311" i="4" l="1"/>
  <c r="AH143" i="4"/>
  <c r="AH269" i="4"/>
  <c r="AH290" i="4"/>
  <c r="AH248" i="4"/>
  <c r="AH332" i="4"/>
  <c r="AI377" i="4"/>
  <c r="AG379" i="4"/>
  <c r="AJ375" i="4"/>
  <c r="AJ374" i="4"/>
  <c r="AI133" i="4"/>
  <c r="AI134" i="4"/>
  <c r="AI128" i="4"/>
  <c r="AI129" i="4"/>
  <c r="AI127" i="4"/>
  <c r="AI131" i="4"/>
  <c r="AI126" i="4"/>
  <c r="AI132" i="4"/>
  <c r="AI337" i="4"/>
  <c r="AI125" i="4"/>
  <c r="AI130" i="4"/>
  <c r="AI356" i="4"/>
  <c r="AI358" i="4" s="1"/>
  <c r="AI168" i="4"/>
  <c r="AI329" i="4"/>
  <c r="AI317" i="4"/>
  <c r="AI330" i="4"/>
  <c r="AI174" i="4"/>
  <c r="AI175" i="4"/>
  <c r="AI321" i="4"/>
  <c r="AI327" i="4"/>
  <c r="AI172" i="4"/>
  <c r="AI316" i="4"/>
  <c r="AI319" i="4"/>
  <c r="AI181" i="4"/>
  <c r="AI170" i="4"/>
  <c r="AI323" i="4"/>
  <c r="AI305" i="4"/>
  <c r="AI308" i="4"/>
  <c r="AI214" i="4"/>
  <c r="AI223" i="4"/>
  <c r="AI183" i="4"/>
  <c r="AI173" i="4"/>
  <c r="AI176" i="4"/>
  <c r="AI320" i="4"/>
  <c r="AI171" i="4"/>
  <c r="AI315" i="4"/>
  <c r="AI167" i="4"/>
  <c r="AI296" i="4"/>
  <c r="AI294" i="4"/>
  <c r="AI212" i="4"/>
  <c r="AI217" i="4"/>
  <c r="AI221" i="4"/>
  <c r="AI169" i="4"/>
  <c r="AI225" i="4"/>
  <c r="AI210" i="4"/>
  <c r="AI215" i="4"/>
  <c r="AI218" i="4"/>
  <c r="AI295" i="4"/>
  <c r="AI301" i="4"/>
  <c r="AI297" i="4"/>
  <c r="AI309" i="4"/>
  <c r="AI182" i="4"/>
  <c r="AI300" i="4"/>
  <c r="AI211" i="4"/>
  <c r="AI209" i="4"/>
  <c r="AI193" i="4"/>
  <c r="AI190" i="4"/>
  <c r="AI197" i="4"/>
  <c r="AI203" i="4"/>
  <c r="AI204" i="4"/>
  <c r="AI179" i="4"/>
  <c r="AI299" i="4"/>
  <c r="AI293" i="4"/>
  <c r="AI318" i="4"/>
  <c r="AI322" i="4"/>
  <c r="AI307" i="4"/>
  <c r="AI180" i="4"/>
  <c r="AI298" i="4"/>
  <c r="AI213" i="4"/>
  <c r="AI222" i="4"/>
  <c r="AI192" i="4"/>
  <c r="AI201" i="4"/>
  <c r="AI306" i="4"/>
  <c r="AI200" i="4"/>
  <c r="AI216" i="4"/>
  <c r="AI202" i="4"/>
  <c r="AI326" i="4"/>
  <c r="AI191" i="4"/>
  <c r="AI224" i="4"/>
  <c r="AI188" i="4"/>
  <c r="AI314" i="4"/>
  <c r="AI328" i="4"/>
  <c r="AI189" i="4"/>
  <c r="AI195" i="4"/>
  <c r="AI302" i="4"/>
  <c r="AI196" i="4"/>
  <c r="AI194" i="4"/>
  <c r="AI339" i="4"/>
  <c r="AI345" i="4"/>
  <c r="AI341" i="4"/>
  <c r="AI346" i="4"/>
  <c r="AI338" i="4"/>
  <c r="AI340" i="4"/>
  <c r="AI369" i="4"/>
  <c r="AI244" i="4"/>
  <c r="AI253" i="4"/>
  <c r="AI255" i="4"/>
  <c r="AI272" i="4"/>
  <c r="AI279" i="4"/>
  <c r="AI286" i="4"/>
  <c r="AI232" i="4"/>
  <c r="AI230" i="4"/>
  <c r="AI266" i="4"/>
  <c r="AI258" i="4"/>
  <c r="AI277" i="4"/>
  <c r="AI256" i="4"/>
  <c r="AI234" i="4"/>
  <c r="AI237" i="4"/>
  <c r="AI235" i="4"/>
  <c r="AI238" i="4"/>
  <c r="AI257" i="4"/>
  <c r="AI264" i="4"/>
  <c r="AI288" i="4"/>
  <c r="AI280" i="4"/>
  <c r="AI239" i="4"/>
  <c r="AI245" i="4"/>
  <c r="AI276" i="4"/>
  <c r="AI273" i="4"/>
  <c r="AI278" i="4"/>
  <c r="AI263" i="4"/>
  <c r="AI281" i="4"/>
  <c r="AI275" i="4"/>
  <c r="AI246" i="4"/>
  <c r="AI265" i="4"/>
  <c r="AI242" i="4"/>
  <c r="AI243" i="4"/>
  <c r="AI252" i="4"/>
  <c r="AI231" i="4"/>
  <c r="AI285" i="4"/>
  <c r="AI233" i="4"/>
  <c r="AI251" i="4"/>
  <c r="AI284" i="4"/>
  <c r="AI274" i="4"/>
  <c r="AI254" i="4"/>
  <c r="AI287" i="4"/>
  <c r="AI236" i="4"/>
  <c r="AI259" i="4"/>
  <c r="AI260" i="4"/>
  <c r="AI267" i="4"/>
  <c r="AI342" i="4"/>
  <c r="AI343" i="4"/>
  <c r="AI344" i="4"/>
  <c r="AH348" i="4"/>
  <c r="AH117" i="4"/>
  <c r="AH53" i="4"/>
  <c r="AI158" i="4"/>
  <c r="AI146" i="4"/>
  <c r="AI137" i="4"/>
  <c r="AI147" i="4"/>
  <c r="AI148" i="4"/>
  <c r="AI149" i="4"/>
  <c r="AI150" i="4"/>
  <c r="AI151" i="4"/>
  <c r="AI153" i="4"/>
  <c r="AI155" i="4"/>
  <c r="AI152" i="4"/>
  <c r="AI141" i="4"/>
  <c r="AI86" i="4"/>
  <c r="AI100" i="4"/>
  <c r="AI159" i="4"/>
  <c r="AI161" i="4"/>
  <c r="AI162" i="4"/>
  <c r="AI160" i="4"/>
  <c r="AI122" i="4"/>
  <c r="AI79" i="4"/>
  <c r="AI85" i="4"/>
  <c r="AI111" i="4"/>
  <c r="AI93" i="4"/>
  <c r="AI108" i="4"/>
  <c r="AI64" i="4"/>
  <c r="AI75" i="4"/>
  <c r="AI91" i="4"/>
  <c r="AI106" i="4"/>
  <c r="AI138" i="4"/>
  <c r="AI101" i="4"/>
  <c r="AI109" i="4"/>
  <c r="AI139" i="4"/>
  <c r="AI103" i="4"/>
  <c r="AI107" i="4"/>
  <c r="AI114" i="4"/>
  <c r="AI63" i="4"/>
  <c r="AI66" i="4"/>
  <c r="AI140" i="4"/>
  <c r="AI74" i="4"/>
  <c r="AI77" i="4"/>
  <c r="AI84" i="4"/>
  <c r="AI83" i="4"/>
  <c r="AI73" i="4"/>
  <c r="AI76" i="4"/>
  <c r="AI95" i="4"/>
  <c r="AI110" i="4"/>
  <c r="AI113" i="4"/>
  <c r="AI65" i="4"/>
  <c r="AI98" i="4"/>
  <c r="AI78" i="4"/>
  <c r="AI115" i="4"/>
  <c r="AI68" i="4"/>
  <c r="AI72" i="4"/>
  <c r="AI92" i="4"/>
  <c r="AI99" i="4"/>
  <c r="AI69" i="4"/>
  <c r="AI88" i="4"/>
  <c r="AI112" i="4"/>
  <c r="AI87" i="4"/>
  <c r="AI67" i="4"/>
  <c r="AI62" i="4"/>
  <c r="AI89" i="4"/>
  <c r="AI94" i="4"/>
  <c r="AI154" i="4"/>
  <c r="AI90" i="4"/>
  <c r="AI102" i="4"/>
  <c r="AI50" i="4"/>
  <c r="AI39" i="4"/>
  <c r="AI22" i="4"/>
  <c r="AI38" i="4"/>
  <c r="AI21" i="4"/>
  <c r="AI51" i="4"/>
  <c r="AI25" i="4"/>
  <c r="AI23" i="4"/>
  <c r="AI33" i="4"/>
  <c r="AI16" i="4"/>
  <c r="AI19" i="4"/>
  <c r="AI32" i="4"/>
  <c r="AI31" i="4"/>
  <c r="AI18" i="4"/>
  <c r="AI17" i="4"/>
  <c r="AI34" i="4"/>
  <c r="AI24" i="4"/>
  <c r="AI15" i="4"/>
  <c r="AI35" i="4"/>
  <c r="AI27" i="4"/>
  <c r="AI36" i="4"/>
  <c r="AI14" i="4"/>
  <c r="AI26" i="4"/>
  <c r="AI20" i="4"/>
  <c r="AI13" i="4"/>
  <c r="AI37" i="4"/>
  <c r="AI30" i="4"/>
  <c r="AH41" i="4"/>
  <c r="AH227" i="4"/>
  <c r="AH206" i="4"/>
  <c r="AH185" i="4"/>
  <c r="AH164" i="4"/>
  <c r="AK2" i="4"/>
  <c r="AJ3" i="4"/>
  <c r="AJ364" i="4" s="1"/>
  <c r="AI290" i="4" l="1"/>
  <c r="AI143" i="4"/>
  <c r="AI248" i="4"/>
  <c r="AI269" i="4"/>
  <c r="AI332" i="4"/>
  <c r="AI311" i="4"/>
  <c r="AJ377" i="4"/>
  <c r="AH379" i="4"/>
  <c r="AK375" i="4"/>
  <c r="AK374" i="4"/>
  <c r="AI348" i="4"/>
  <c r="AJ134" i="4"/>
  <c r="AJ127" i="4"/>
  <c r="AJ131" i="4"/>
  <c r="AJ128" i="4"/>
  <c r="AJ126" i="4"/>
  <c r="AJ129" i="4"/>
  <c r="AJ337" i="4"/>
  <c r="AJ130" i="4"/>
  <c r="AJ132" i="4"/>
  <c r="AJ133" i="4"/>
  <c r="AJ125" i="4"/>
  <c r="AJ356" i="4"/>
  <c r="AJ358" i="4" s="1"/>
  <c r="AJ171" i="4"/>
  <c r="AJ323" i="4"/>
  <c r="AJ330" i="4"/>
  <c r="AJ181" i="4"/>
  <c r="AJ182" i="4"/>
  <c r="AJ318" i="4"/>
  <c r="AJ170" i="4"/>
  <c r="AJ317" i="4"/>
  <c r="AJ322" i="4"/>
  <c r="AJ315" i="4"/>
  <c r="AJ172" i="4"/>
  <c r="AJ176" i="4"/>
  <c r="AJ314" i="4"/>
  <c r="AJ169" i="4"/>
  <c r="AJ320" i="4"/>
  <c r="AJ300" i="4"/>
  <c r="AJ296" i="4"/>
  <c r="AJ295" i="4"/>
  <c r="AJ309" i="4"/>
  <c r="AJ168" i="4"/>
  <c r="AJ319" i="4"/>
  <c r="AJ302" i="4"/>
  <c r="AJ329" i="4"/>
  <c r="AJ293" i="4"/>
  <c r="AJ308" i="4"/>
  <c r="AJ179" i="4"/>
  <c r="AJ183" i="4"/>
  <c r="AJ328" i="4"/>
  <c r="AJ306" i="4"/>
  <c r="AJ327" i="4"/>
  <c r="AJ298" i="4"/>
  <c r="AJ200" i="4"/>
  <c r="AJ202" i="4"/>
  <c r="AJ316" i="4"/>
  <c r="AJ307" i="4"/>
  <c r="AJ301" i="4"/>
  <c r="AJ222" i="4"/>
  <c r="AJ210" i="4"/>
  <c r="AJ215" i="4"/>
  <c r="AJ173" i="4"/>
  <c r="AJ216" i="4"/>
  <c r="AJ224" i="4"/>
  <c r="AJ214" i="4"/>
  <c r="AJ188" i="4"/>
  <c r="AJ190" i="4"/>
  <c r="AJ299" i="4"/>
  <c r="AJ193" i="4"/>
  <c r="AJ294" i="4"/>
  <c r="AJ297" i="4"/>
  <c r="AJ212" i="4"/>
  <c r="AJ211" i="4"/>
  <c r="AJ180" i="4"/>
  <c r="AJ305" i="4"/>
  <c r="AJ225" i="4"/>
  <c r="AJ197" i="4"/>
  <c r="AJ192" i="4"/>
  <c r="AJ204" i="4"/>
  <c r="AJ174" i="4"/>
  <c r="AJ213" i="4"/>
  <c r="AJ201" i="4"/>
  <c r="AJ195" i="4"/>
  <c r="AJ175" i="4"/>
  <c r="AJ326" i="4"/>
  <c r="AJ223" i="4"/>
  <c r="AJ321" i="4"/>
  <c r="AJ167" i="4"/>
  <c r="AJ217" i="4"/>
  <c r="AJ191" i="4"/>
  <c r="AJ218" i="4"/>
  <c r="AJ196" i="4"/>
  <c r="AJ203" i="4"/>
  <c r="AJ221" i="4"/>
  <c r="AJ209" i="4"/>
  <c r="AJ194" i="4"/>
  <c r="AJ189" i="4"/>
  <c r="AJ338" i="4"/>
  <c r="AJ346" i="4"/>
  <c r="AJ339" i="4"/>
  <c r="AJ340" i="4"/>
  <c r="AJ345" i="4"/>
  <c r="AJ341" i="4"/>
  <c r="AJ369" i="4"/>
  <c r="AJ244" i="4"/>
  <c r="AJ235" i="4"/>
  <c r="AJ234" i="4"/>
  <c r="AJ252" i="4"/>
  <c r="AJ259" i="4"/>
  <c r="AJ288" i="4"/>
  <c r="AJ239" i="4"/>
  <c r="AJ242" i="4"/>
  <c r="AJ238" i="4"/>
  <c r="AJ230" i="4"/>
  <c r="AJ278" i="4"/>
  <c r="AJ272" i="4"/>
  <c r="AJ286" i="4"/>
  <c r="AJ237" i="4"/>
  <c r="AJ246" i="4"/>
  <c r="AJ245" i="4"/>
  <c r="AJ264" i="4"/>
  <c r="AJ255" i="4"/>
  <c r="AJ284" i="4"/>
  <c r="AJ254" i="4"/>
  <c r="AJ277" i="4"/>
  <c r="AJ257" i="4"/>
  <c r="AJ256" i="4"/>
  <c r="AJ267" i="4"/>
  <c r="AJ266" i="4"/>
  <c r="AJ258" i="4"/>
  <c r="AJ260" i="4"/>
  <c r="AJ275" i="4"/>
  <c r="AJ243" i="4"/>
  <c r="AJ285" i="4"/>
  <c r="AJ265" i="4"/>
  <c r="AJ263" i="4"/>
  <c r="AJ276" i="4"/>
  <c r="AJ233" i="4"/>
  <c r="AJ280" i="4"/>
  <c r="AJ232" i="4"/>
  <c r="AJ236" i="4"/>
  <c r="AJ281" i="4"/>
  <c r="AJ231" i="4"/>
  <c r="AJ273" i="4"/>
  <c r="AJ287" i="4"/>
  <c r="AJ253" i="4"/>
  <c r="AJ251" i="4"/>
  <c r="AJ279" i="4"/>
  <c r="AJ274" i="4"/>
  <c r="AJ343" i="4"/>
  <c r="AJ342" i="4"/>
  <c r="AJ344" i="4"/>
  <c r="AJ159" i="4"/>
  <c r="AJ138" i="4"/>
  <c r="AJ151" i="4"/>
  <c r="AJ152" i="4"/>
  <c r="AJ153" i="4"/>
  <c r="AJ154" i="4"/>
  <c r="AJ155" i="4"/>
  <c r="AJ162" i="4"/>
  <c r="AJ72" i="4"/>
  <c r="AJ87" i="4"/>
  <c r="AJ101" i="4"/>
  <c r="AJ160" i="4"/>
  <c r="AJ137" i="4"/>
  <c r="AJ146" i="4"/>
  <c r="AJ139" i="4"/>
  <c r="AJ122" i="4"/>
  <c r="AJ112" i="4"/>
  <c r="AJ161" i="4"/>
  <c r="AJ73" i="4"/>
  <c r="AJ77" i="4"/>
  <c r="AJ148" i="4"/>
  <c r="AJ150" i="4"/>
  <c r="AJ141" i="4"/>
  <c r="AJ74" i="4"/>
  <c r="AJ84" i="4"/>
  <c r="AJ95" i="4"/>
  <c r="AJ79" i="4"/>
  <c r="AJ93" i="4"/>
  <c r="AJ108" i="4"/>
  <c r="AJ64" i="4"/>
  <c r="AJ147" i="4"/>
  <c r="AJ149" i="4"/>
  <c r="AJ85" i="4"/>
  <c r="AJ102" i="4"/>
  <c r="AJ113" i="4"/>
  <c r="AJ62" i="4"/>
  <c r="AJ68" i="4"/>
  <c r="AJ107" i="4"/>
  <c r="AJ114" i="4"/>
  <c r="AJ106" i="4"/>
  <c r="AJ103" i="4"/>
  <c r="AJ110" i="4"/>
  <c r="AJ115" i="4"/>
  <c r="AJ158" i="4"/>
  <c r="AJ83" i="4"/>
  <c r="AJ111" i="4"/>
  <c r="AJ90" i="4"/>
  <c r="AJ63" i="4"/>
  <c r="AJ140" i="4"/>
  <c r="AJ91" i="4"/>
  <c r="AJ65" i="4"/>
  <c r="AJ76" i="4"/>
  <c r="AJ98" i="4"/>
  <c r="AJ75" i="4"/>
  <c r="AJ92" i="4"/>
  <c r="AJ99" i="4"/>
  <c r="AJ69" i="4"/>
  <c r="AJ78" i="4"/>
  <c r="AJ86" i="4"/>
  <c r="AJ88" i="4"/>
  <c r="AJ100" i="4"/>
  <c r="AJ67" i="4"/>
  <c r="AJ89" i="4"/>
  <c r="AJ94" i="4"/>
  <c r="AJ66" i="4"/>
  <c r="AJ109" i="4"/>
  <c r="AI117" i="4"/>
  <c r="AJ23" i="4"/>
  <c r="AJ50" i="4"/>
  <c r="AJ39" i="4"/>
  <c r="AJ22" i="4"/>
  <c r="AJ35" i="4"/>
  <c r="AJ18" i="4"/>
  <c r="AJ51" i="4"/>
  <c r="AJ25" i="4"/>
  <c r="AJ33" i="4"/>
  <c r="AJ16" i="4"/>
  <c r="AJ14" i="4"/>
  <c r="AJ20" i="4"/>
  <c r="AJ19" i="4"/>
  <c r="AJ32" i="4"/>
  <c r="AJ36" i="4"/>
  <c r="AJ13" i="4"/>
  <c r="AJ24" i="4"/>
  <c r="AJ34" i="4"/>
  <c r="AJ15" i="4"/>
  <c r="AJ17" i="4"/>
  <c r="AJ27" i="4"/>
  <c r="AJ26" i="4"/>
  <c r="AJ31" i="4"/>
  <c r="AJ37" i="4"/>
  <c r="AJ21" i="4"/>
  <c r="AJ30" i="4"/>
  <c r="AJ38" i="4"/>
  <c r="AI41" i="4"/>
  <c r="AI53" i="4"/>
  <c r="AI227" i="4"/>
  <c r="AI206" i="4"/>
  <c r="AI185" i="4"/>
  <c r="AI164" i="4"/>
  <c r="AL2" i="4"/>
  <c r="AK3" i="4"/>
  <c r="AK364" i="4" s="1"/>
  <c r="AJ143" i="4" l="1"/>
  <c r="AJ290" i="4"/>
  <c r="AJ248" i="4"/>
  <c r="AJ311" i="4"/>
  <c r="AJ332" i="4"/>
  <c r="AJ269" i="4"/>
  <c r="AI379" i="4"/>
  <c r="AK377" i="4"/>
  <c r="AL375" i="4"/>
  <c r="AL374" i="4"/>
  <c r="AK132" i="4"/>
  <c r="AK131" i="4"/>
  <c r="AK125" i="4"/>
  <c r="AK127" i="4"/>
  <c r="AK134" i="4"/>
  <c r="AK337" i="4"/>
  <c r="AK130" i="4"/>
  <c r="AK129" i="4"/>
  <c r="AK126" i="4"/>
  <c r="AK133" i="4"/>
  <c r="AK128" i="4"/>
  <c r="AK356" i="4"/>
  <c r="AK358" i="4" s="1"/>
  <c r="AK180" i="4"/>
  <c r="AK168" i="4"/>
  <c r="AK174" i="4"/>
  <c r="AK172" i="4"/>
  <c r="AK169" i="4"/>
  <c r="AK322" i="4"/>
  <c r="AK329" i="4"/>
  <c r="AK314" i="4"/>
  <c r="AK175" i="4"/>
  <c r="AK327" i="4"/>
  <c r="AK315" i="4"/>
  <c r="AK173" i="4"/>
  <c r="AK167" i="4"/>
  <c r="AK294" i="4"/>
  <c r="AK330" i="4"/>
  <c r="AK323" i="4"/>
  <c r="AK297" i="4"/>
  <c r="AK296" i="4"/>
  <c r="AK179" i="4"/>
  <c r="AK319" i="4"/>
  <c r="AK305" i="4"/>
  <c r="AK306" i="4"/>
  <c r="AK182" i="4"/>
  <c r="AK181" i="4"/>
  <c r="AK328" i="4"/>
  <c r="AK320" i="4"/>
  <c r="AK326" i="4"/>
  <c r="AK295" i="4"/>
  <c r="AK194" i="4"/>
  <c r="AK176" i="4"/>
  <c r="AK221" i="4"/>
  <c r="AK318" i="4"/>
  <c r="AK317" i="4"/>
  <c r="AK308" i="4"/>
  <c r="AK170" i="4"/>
  <c r="AK316" i="4"/>
  <c r="AK309" i="4"/>
  <c r="AK301" i="4"/>
  <c r="AK210" i="4"/>
  <c r="AK212" i="4"/>
  <c r="AK293" i="4"/>
  <c r="AK299" i="4"/>
  <c r="AK302" i="4"/>
  <c r="AK193" i="4"/>
  <c r="AK203" i="4"/>
  <c r="AK188" i="4"/>
  <c r="AK196" i="4"/>
  <c r="AK321" i="4"/>
  <c r="AK222" i="4"/>
  <c r="AK300" i="4"/>
  <c r="AK223" i="4"/>
  <c r="AK217" i="4"/>
  <c r="AK192" i="4"/>
  <c r="AK298" i="4"/>
  <c r="AK209" i="4"/>
  <c r="AK211" i="4"/>
  <c r="AK195" i="4"/>
  <c r="AK200" i="4"/>
  <c r="AK201" i="4"/>
  <c r="AK216" i="4"/>
  <c r="AK191" i="4"/>
  <c r="AK171" i="4"/>
  <c r="AK307" i="4"/>
  <c r="AK214" i="4"/>
  <c r="AK224" i="4"/>
  <c r="AK218" i="4"/>
  <c r="AK215" i="4"/>
  <c r="AK190" i="4"/>
  <c r="AK204" i="4"/>
  <c r="AK202" i="4"/>
  <c r="AK183" i="4"/>
  <c r="AK189" i="4"/>
  <c r="AK197" i="4"/>
  <c r="AK213" i="4"/>
  <c r="AK225" i="4"/>
  <c r="AK340" i="4"/>
  <c r="AK339" i="4"/>
  <c r="AK346" i="4"/>
  <c r="AK338" i="4"/>
  <c r="AK345" i="4"/>
  <c r="AK341" i="4"/>
  <c r="AK369" i="4"/>
  <c r="AK265" i="4"/>
  <c r="AK256" i="4"/>
  <c r="AK258" i="4"/>
  <c r="AK267" i="4"/>
  <c r="AK288" i="4"/>
  <c r="AK236" i="4"/>
  <c r="AK273" i="4"/>
  <c r="AK252" i="4"/>
  <c r="AK276" i="4"/>
  <c r="AK277" i="4"/>
  <c r="AK235" i="4"/>
  <c r="AK254" i="4"/>
  <c r="AK253" i="4"/>
  <c r="AK230" i="4"/>
  <c r="AK246" i="4"/>
  <c r="AK251" i="4"/>
  <c r="AK237" i="4"/>
  <c r="AK264" i="4"/>
  <c r="AK260" i="4"/>
  <c r="AK284" i="4"/>
  <c r="AK280" i="4"/>
  <c r="AK232" i="4"/>
  <c r="AK231" i="4"/>
  <c r="AK272" i="4"/>
  <c r="AK259" i="4"/>
  <c r="AK239" i="4"/>
  <c r="AK274" i="4"/>
  <c r="AK244" i="4"/>
  <c r="AK278" i="4"/>
  <c r="AK242" i="4"/>
  <c r="AK238" i="4"/>
  <c r="AK257" i="4"/>
  <c r="AK279" i="4"/>
  <c r="AK233" i="4"/>
  <c r="AK255" i="4"/>
  <c r="AK243" i="4"/>
  <c r="AK266" i="4"/>
  <c r="AK285" i="4"/>
  <c r="AK234" i="4"/>
  <c r="AK287" i="4"/>
  <c r="AK281" i="4"/>
  <c r="AK263" i="4"/>
  <c r="AK245" i="4"/>
  <c r="AK275" i="4"/>
  <c r="AK286" i="4"/>
  <c r="AK344" i="4"/>
  <c r="AK343" i="4"/>
  <c r="AK342" i="4"/>
  <c r="AJ348" i="4"/>
  <c r="AJ117" i="4"/>
  <c r="AK160" i="4"/>
  <c r="AK139" i="4"/>
  <c r="AK158" i="4"/>
  <c r="AK146" i="4"/>
  <c r="AK137" i="4"/>
  <c r="AK159" i="4"/>
  <c r="AK138" i="4"/>
  <c r="AK150" i="4"/>
  <c r="AK151" i="4"/>
  <c r="AK140" i="4"/>
  <c r="AK73" i="4"/>
  <c r="AK88" i="4"/>
  <c r="AK102" i="4"/>
  <c r="AK154" i="4"/>
  <c r="AK149" i="4"/>
  <c r="AK72" i="4"/>
  <c r="AK74" i="4"/>
  <c r="AK103" i="4"/>
  <c r="AK108" i="4"/>
  <c r="AK113" i="4"/>
  <c r="AK162" i="4"/>
  <c r="AK83" i="4"/>
  <c r="AK78" i="4"/>
  <c r="AK86" i="4"/>
  <c r="AK110" i="4"/>
  <c r="AK153" i="4"/>
  <c r="AK141" i="4"/>
  <c r="AK84" i="4"/>
  <c r="AK95" i="4"/>
  <c r="AK161" i="4"/>
  <c r="AK148" i="4"/>
  <c r="AK99" i="4"/>
  <c r="AK100" i="4"/>
  <c r="AK106" i="4"/>
  <c r="AK147" i="4"/>
  <c r="AK85" i="4"/>
  <c r="AK101" i="4"/>
  <c r="AK62" i="4"/>
  <c r="AK68" i="4"/>
  <c r="AK109" i="4"/>
  <c r="AK115" i="4"/>
  <c r="AK64" i="4"/>
  <c r="AK79" i="4"/>
  <c r="AK90" i="4"/>
  <c r="AK63" i="4"/>
  <c r="AK91" i="4"/>
  <c r="AK65" i="4"/>
  <c r="AK76" i="4"/>
  <c r="AK77" i="4"/>
  <c r="AK98" i="4"/>
  <c r="AK111" i="4"/>
  <c r="AK114" i="4"/>
  <c r="AK155" i="4"/>
  <c r="AK122" i="4"/>
  <c r="AK75" i="4"/>
  <c r="AK107" i="4"/>
  <c r="AK94" i="4"/>
  <c r="AK93" i="4"/>
  <c r="AK112" i="4"/>
  <c r="AK92" i="4"/>
  <c r="AK69" i="4"/>
  <c r="AK87" i="4"/>
  <c r="AK67" i="4"/>
  <c r="AK89" i="4"/>
  <c r="AK66" i="4"/>
  <c r="AK152" i="4"/>
  <c r="AK24" i="4"/>
  <c r="AK23" i="4"/>
  <c r="AK50" i="4"/>
  <c r="AK30" i="4"/>
  <c r="AK13" i="4"/>
  <c r="AK27" i="4"/>
  <c r="AK35" i="4"/>
  <c r="AK18" i="4"/>
  <c r="AK51" i="4"/>
  <c r="AK25" i="4"/>
  <c r="AK38" i="4"/>
  <c r="AK15" i="4"/>
  <c r="AK26" i="4"/>
  <c r="AK14" i="4"/>
  <c r="AK20" i="4"/>
  <c r="AK31" i="4"/>
  <c r="AK37" i="4"/>
  <c r="AK36" i="4"/>
  <c r="AK21" i="4"/>
  <c r="AK34" i="4"/>
  <c r="AK39" i="4"/>
  <c r="AK19" i="4"/>
  <c r="AK16" i="4"/>
  <c r="AK22" i="4"/>
  <c r="AK33" i="4"/>
  <c r="AK32" i="4"/>
  <c r="AK17" i="4"/>
  <c r="AJ41" i="4"/>
  <c r="AJ53" i="4"/>
  <c r="AJ227" i="4"/>
  <c r="AJ206" i="4"/>
  <c r="AJ185" i="4"/>
  <c r="AJ164" i="4"/>
  <c r="AM2" i="4"/>
  <c r="AL3" i="4"/>
  <c r="AL364" i="4" s="1"/>
  <c r="AK269" i="4" l="1"/>
  <c r="AK248" i="4"/>
  <c r="AK290" i="4"/>
  <c r="AK332" i="4"/>
  <c r="AK311" i="4"/>
  <c r="AK143" i="4"/>
  <c r="AJ379" i="4"/>
  <c r="AL377" i="4"/>
  <c r="AM375" i="4"/>
  <c r="AM374" i="4"/>
  <c r="AL134" i="4"/>
  <c r="AL133" i="4"/>
  <c r="AL125" i="4"/>
  <c r="AL126" i="4"/>
  <c r="AL130" i="4"/>
  <c r="AL131" i="4"/>
  <c r="AL127" i="4"/>
  <c r="AL337" i="4"/>
  <c r="AL128" i="4"/>
  <c r="AL129" i="4"/>
  <c r="AL132" i="4"/>
  <c r="AL356" i="4"/>
  <c r="AL358" i="4" s="1"/>
  <c r="AL171" i="4"/>
  <c r="AL183" i="4"/>
  <c r="AL322" i="4"/>
  <c r="AL169" i="4"/>
  <c r="AL170" i="4"/>
  <c r="AL329" i="4"/>
  <c r="AL327" i="4"/>
  <c r="AL181" i="4"/>
  <c r="AL330" i="4"/>
  <c r="AL328" i="4"/>
  <c r="AL320" i="4"/>
  <c r="AL314" i="4"/>
  <c r="AL321" i="4"/>
  <c r="AL168" i="4"/>
  <c r="AL317" i="4"/>
  <c r="AL209" i="4"/>
  <c r="AL306" i="4"/>
  <c r="AL309" i="4"/>
  <c r="AL319" i="4"/>
  <c r="AL180" i="4"/>
  <c r="AL307" i="4"/>
  <c r="AL173" i="4"/>
  <c r="AL296" i="4"/>
  <c r="AL295" i="4"/>
  <c r="AL294" i="4"/>
  <c r="AL210" i="4"/>
  <c r="AL190" i="4"/>
  <c r="AL301" i="4"/>
  <c r="AL305" i="4"/>
  <c r="AL222" i="4"/>
  <c r="AL221" i="4"/>
  <c r="AL175" i="4"/>
  <c r="AL297" i="4"/>
  <c r="AL211" i="4"/>
  <c r="AL167" i="4"/>
  <c r="AL216" i="4"/>
  <c r="AL213" i="4"/>
  <c r="AL212" i="4"/>
  <c r="AL223" i="4"/>
  <c r="AL176" i="4"/>
  <c r="AL179" i="4"/>
  <c r="AL315" i="4"/>
  <c r="AL316" i="4"/>
  <c r="AL300" i="4"/>
  <c r="AL299" i="4"/>
  <c r="AL215" i="4"/>
  <c r="AL172" i="4"/>
  <c r="AL189" i="4"/>
  <c r="AL194" i="4"/>
  <c r="AL326" i="4"/>
  <c r="AL174" i="4"/>
  <c r="AL318" i="4"/>
  <c r="AL218" i="4"/>
  <c r="AL323" i="4"/>
  <c r="AL193" i="4"/>
  <c r="AL214" i="4"/>
  <c r="AL217" i="4"/>
  <c r="AL195" i="4"/>
  <c r="AL293" i="4"/>
  <c r="AL202" i="4"/>
  <c r="AL192" i="4"/>
  <c r="AL298" i="4"/>
  <c r="AL191" i="4"/>
  <c r="AL196" i="4"/>
  <c r="AL308" i="4"/>
  <c r="AL197" i="4"/>
  <c r="AL200" i="4"/>
  <c r="AL182" i="4"/>
  <c r="AL302" i="4"/>
  <c r="AL225" i="4"/>
  <c r="AL204" i="4"/>
  <c r="AL224" i="4"/>
  <c r="AL201" i="4"/>
  <c r="AL188" i="4"/>
  <c r="AL203" i="4"/>
  <c r="AL345" i="4"/>
  <c r="AL341" i="4"/>
  <c r="AL346" i="4"/>
  <c r="AL338" i="4"/>
  <c r="AL339" i="4"/>
  <c r="AL340" i="4"/>
  <c r="AL369" i="4"/>
  <c r="AL230" i="4"/>
  <c r="AL259" i="4"/>
  <c r="AL255" i="4"/>
  <c r="AL274" i="4"/>
  <c r="AL286" i="4"/>
  <c r="AL276" i="4"/>
  <c r="AL246" i="4"/>
  <c r="AL239" i="4"/>
  <c r="AL243" i="4"/>
  <c r="AL284" i="4"/>
  <c r="AL233" i="4"/>
  <c r="AL242" i="4"/>
  <c r="AL245" i="4"/>
  <c r="AL260" i="4"/>
  <c r="AL266" i="4"/>
  <c r="AL278" i="4"/>
  <c r="AL232" i="4"/>
  <c r="AL279" i="4"/>
  <c r="AL281" i="4"/>
  <c r="AL244" i="4"/>
  <c r="AL263" i="4"/>
  <c r="AL256" i="4"/>
  <c r="AL257" i="4"/>
  <c r="AL251" i="4"/>
  <c r="AL275" i="4"/>
  <c r="AL253" i="4"/>
  <c r="AL288" i="4"/>
  <c r="AL287" i="4"/>
  <c r="AL234" i="4"/>
  <c r="AL258" i="4"/>
  <c r="AL280" i="4"/>
  <c r="AL277" i="4"/>
  <c r="AL237" i="4"/>
  <c r="AL235" i="4"/>
  <c r="AL231" i="4"/>
  <c r="AL238" i="4"/>
  <c r="AL252" i="4"/>
  <c r="AL267" i="4"/>
  <c r="AL254" i="4"/>
  <c r="AL285" i="4"/>
  <c r="AL236" i="4"/>
  <c r="AL265" i="4"/>
  <c r="AL272" i="4"/>
  <c r="AL273" i="4"/>
  <c r="AL264" i="4"/>
  <c r="AL343" i="4"/>
  <c r="AL344" i="4"/>
  <c r="AL342" i="4"/>
  <c r="AK348" i="4"/>
  <c r="AK117" i="4"/>
  <c r="AL161" i="4"/>
  <c r="AL140" i="4"/>
  <c r="AL159" i="4"/>
  <c r="AL138" i="4"/>
  <c r="AL122" i="4"/>
  <c r="AL147" i="4"/>
  <c r="AL149" i="4"/>
  <c r="AL74" i="4"/>
  <c r="AL89" i="4"/>
  <c r="AL103" i="4"/>
  <c r="AL158" i="4"/>
  <c r="AL153" i="4"/>
  <c r="AL137" i="4"/>
  <c r="AL141" i="4"/>
  <c r="AL77" i="4"/>
  <c r="AL151" i="4"/>
  <c r="AL92" i="4"/>
  <c r="AL95" i="4"/>
  <c r="AL100" i="4"/>
  <c r="AL114" i="4"/>
  <c r="AL152" i="4"/>
  <c r="AL162" i="4"/>
  <c r="AL160" i="4"/>
  <c r="AL155" i="4"/>
  <c r="AL139" i="4"/>
  <c r="AL99" i="4"/>
  <c r="AL113" i="4"/>
  <c r="AL65" i="4"/>
  <c r="AL78" i="4"/>
  <c r="AL86" i="4"/>
  <c r="AL110" i="4"/>
  <c r="AL150" i="4"/>
  <c r="AL98" i="4"/>
  <c r="AL101" i="4"/>
  <c r="AL148" i="4"/>
  <c r="AL102" i="4"/>
  <c r="AL85" i="4"/>
  <c r="AL107" i="4"/>
  <c r="AL63" i="4"/>
  <c r="AL66" i="4"/>
  <c r="AL109" i="4"/>
  <c r="AL146" i="4"/>
  <c r="AL79" i="4"/>
  <c r="AL90" i="4"/>
  <c r="AL73" i="4"/>
  <c r="AL83" i="4"/>
  <c r="AL91" i="4"/>
  <c r="AL72" i="4"/>
  <c r="AL75" i="4"/>
  <c r="AL76" i="4"/>
  <c r="AL84" i="4"/>
  <c r="AL106" i="4"/>
  <c r="AL111" i="4"/>
  <c r="AL115" i="4"/>
  <c r="AL64" i="4"/>
  <c r="AL154" i="4"/>
  <c r="AL88" i="4"/>
  <c r="AL93" i="4"/>
  <c r="AL112" i="4"/>
  <c r="AL68" i="4"/>
  <c r="AL69" i="4"/>
  <c r="AL87" i="4"/>
  <c r="AL108" i="4"/>
  <c r="AL62" i="4"/>
  <c r="AL67" i="4"/>
  <c r="AL94" i="4"/>
  <c r="AL30" i="4"/>
  <c r="AL13" i="4"/>
  <c r="AL25" i="4"/>
  <c r="AL24" i="4"/>
  <c r="AL37" i="4"/>
  <c r="AL20" i="4"/>
  <c r="AL27" i="4"/>
  <c r="AL35" i="4"/>
  <c r="AL18" i="4"/>
  <c r="AL50" i="4"/>
  <c r="AL33" i="4"/>
  <c r="AL39" i="4"/>
  <c r="AL38" i="4"/>
  <c r="AL15" i="4"/>
  <c r="AL26" i="4"/>
  <c r="AL32" i="4"/>
  <c r="AL31" i="4"/>
  <c r="AL14" i="4"/>
  <c r="AL21" i="4"/>
  <c r="AL34" i="4"/>
  <c r="AL36" i="4"/>
  <c r="AL22" i="4"/>
  <c r="AL19" i="4"/>
  <c r="AL16" i="4"/>
  <c r="AL17" i="4"/>
  <c r="AL51" i="4"/>
  <c r="AL23" i="4"/>
  <c r="AK41" i="4"/>
  <c r="AK53" i="4"/>
  <c r="AK227" i="4"/>
  <c r="AK206" i="4"/>
  <c r="AK185" i="4"/>
  <c r="AK164" i="4"/>
  <c r="AN2" i="4"/>
  <c r="AM3" i="4"/>
  <c r="AM364" i="4" s="1"/>
  <c r="AL311" i="4" l="1"/>
  <c r="AL248" i="4"/>
  <c r="AL332" i="4"/>
  <c r="AL269" i="4"/>
  <c r="AL143" i="4"/>
  <c r="AL290" i="4"/>
  <c r="AK379" i="4"/>
  <c r="AM377" i="4"/>
  <c r="AN375" i="4"/>
  <c r="AN374" i="4"/>
  <c r="AM130" i="4"/>
  <c r="AM127" i="4"/>
  <c r="AM128" i="4"/>
  <c r="AM129" i="4"/>
  <c r="AM337" i="4"/>
  <c r="AM133" i="4"/>
  <c r="AM131" i="4"/>
  <c r="AM132" i="4"/>
  <c r="AM125" i="4"/>
  <c r="AM134" i="4"/>
  <c r="AM126" i="4"/>
  <c r="AM356" i="4"/>
  <c r="AM358" i="4" s="1"/>
  <c r="AM317" i="4"/>
  <c r="AM180" i="4"/>
  <c r="AM176" i="4"/>
  <c r="AM330" i="4"/>
  <c r="AM329" i="4"/>
  <c r="AM170" i="4"/>
  <c r="AM167" i="4"/>
  <c r="AM182" i="4"/>
  <c r="AM173" i="4"/>
  <c r="AM179" i="4"/>
  <c r="AM181" i="4"/>
  <c r="AM172" i="4"/>
  <c r="AM307" i="4"/>
  <c r="AM302" i="4"/>
  <c r="AM299" i="4"/>
  <c r="AM297" i="4"/>
  <c r="AM175" i="4"/>
  <c r="AM323" i="4"/>
  <c r="AM326" i="4"/>
  <c r="AM300" i="4"/>
  <c r="AM322" i="4"/>
  <c r="AM321" i="4"/>
  <c r="AM306" i="4"/>
  <c r="AM169" i="4"/>
  <c r="AM318" i="4"/>
  <c r="AM296" i="4"/>
  <c r="AM168" i="4"/>
  <c r="AM319" i="4"/>
  <c r="AM223" i="4"/>
  <c r="AM211" i="4"/>
  <c r="AM225" i="4"/>
  <c r="AM316" i="4"/>
  <c r="AM314" i="4"/>
  <c r="AM301" i="4"/>
  <c r="AM209" i="4"/>
  <c r="AM213" i="4"/>
  <c r="AM183" i="4"/>
  <c r="AM216" i="4"/>
  <c r="AM174" i="4"/>
  <c r="AM320" i="4"/>
  <c r="AM214" i="4"/>
  <c r="AM202" i="4"/>
  <c r="AM203" i="4"/>
  <c r="AM196" i="4"/>
  <c r="AM305" i="4"/>
  <c r="AM192" i="4"/>
  <c r="AM295" i="4"/>
  <c r="AM308" i="4"/>
  <c r="AM171" i="4"/>
  <c r="AM298" i="4"/>
  <c r="AM212" i="4"/>
  <c r="AM195" i="4"/>
  <c r="AM191" i="4"/>
  <c r="AM190" i="4"/>
  <c r="AM218" i="4"/>
  <c r="AM215" i="4"/>
  <c r="AM224" i="4"/>
  <c r="AM210" i="4"/>
  <c r="AM201" i="4"/>
  <c r="AM194" i="4"/>
  <c r="AM197" i="4"/>
  <c r="AM328" i="4"/>
  <c r="AM217" i="4"/>
  <c r="AM222" i="4"/>
  <c r="AM193" i="4"/>
  <c r="AM315" i="4"/>
  <c r="AM309" i="4"/>
  <c r="AM293" i="4"/>
  <c r="AM204" i="4"/>
  <c r="AM327" i="4"/>
  <c r="AM189" i="4"/>
  <c r="AM200" i="4"/>
  <c r="AM294" i="4"/>
  <c r="AM188" i="4"/>
  <c r="AM221" i="4"/>
  <c r="AM341" i="4"/>
  <c r="AM346" i="4"/>
  <c r="AM338" i="4"/>
  <c r="AM340" i="4"/>
  <c r="AM339" i="4"/>
  <c r="AM345" i="4"/>
  <c r="AM369" i="4"/>
  <c r="AM239" i="4"/>
  <c r="AM264" i="4"/>
  <c r="AM285" i="4"/>
  <c r="AM273" i="4"/>
  <c r="AM245" i="4"/>
  <c r="AM242" i="4"/>
  <c r="AM231" i="4"/>
  <c r="AM259" i="4"/>
  <c r="AM267" i="4"/>
  <c r="AM253" i="4"/>
  <c r="AM280" i="4"/>
  <c r="AM276" i="4"/>
  <c r="AM246" i="4"/>
  <c r="AM235" i="4"/>
  <c r="AM252" i="4"/>
  <c r="AM288" i="4"/>
  <c r="AM230" i="4"/>
  <c r="AM256" i="4"/>
  <c r="AM238" i="4"/>
  <c r="AM233" i="4"/>
  <c r="AM266" i="4"/>
  <c r="AM265" i="4"/>
  <c r="AM279" i="4"/>
  <c r="AM258" i="4"/>
  <c r="AM257" i="4"/>
  <c r="AM281" i="4"/>
  <c r="AM275" i="4"/>
  <c r="AM286" i="4"/>
  <c r="AM274" i="4"/>
  <c r="AM234" i="4"/>
  <c r="AM243" i="4"/>
  <c r="AM254" i="4"/>
  <c r="AM272" i="4"/>
  <c r="AM232" i="4"/>
  <c r="AM237" i="4"/>
  <c r="AM263" i="4"/>
  <c r="AM255" i="4"/>
  <c r="AM278" i="4"/>
  <c r="AM260" i="4"/>
  <c r="AM244" i="4"/>
  <c r="AM251" i="4"/>
  <c r="AM236" i="4"/>
  <c r="AM284" i="4"/>
  <c r="AM287" i="4"/>
  <c r="AM277" i="4"/>
  <c r="AM342" i="4"/>
  <c r="AM343" i="4"/>
  <c r="AM344" i="4"/>
  <c r="AL348" i="4"/>
  <c r="AL53" i="4"/>
  <c r="AL117" i="4"/>
  <c r="AM162" i="4"/>
  <c r="AM141" i="4"/>
  <c r="AM160" i="4"/>
  <c r="AM139" i="4"/>
  <c r="AM161" i="4"/>
  <c r="AM140" i="4"/>
  <c r="AM151" i="4"/>
  <c r="AM153" i="4"/>
  <c r="AM148" i="4"/>
  <c r="AM149" i="4"/>
  <c r="AM75" i="4"/>
  <c r="AM90" i="4"/>
  <c r="AM106" i="4"/>
  <c r="AM152" i="4"/>
  <c r="AM74" i="4"/>
  <c r="AM76" i="4"/>
  <c r="AM83" i="4"/>
  <c r="AM86" i="4"/>
  <c r="AM89" i="4"/>
  <c r="AM115" i="4"/>
  <c r="AM62" i="4"/>
  <c r="AM154" i="4"/>
  <c r="AM146" i="4"/>
  <c r="AM85" i="4"/>
  <c r="AM159" i="4"/>
  <c r="AM122" i="4"/>
  <c r="AM88" i="4"/>
  <c r="AM101" i="4"/>
  <c r="AM66" i="4"/>
  <c r="AM155" i="4"/>
  <c r="AM99" i="4"/>
  <c r="AM113" i="4"/>
  <c r="AM65" i="4"/>
  <c r="AM137" i="4"/>
  <c r="AM78" i="4"/>
  <c r="AM94" i="4"/>
  <c r="AM102" i="4"/>
  <c r="AM150" i="4"/>
  <c r="AM138" i="4"/>
  <c r="AM98" i="4"/>
  <c r="AM100" i="4"/>
  <c r="AM147" i="4"/>
  <c r="AM77" i="4"/>
  <c r="AM84" i="4"/>
  <c r="AM108" i="4"/>
  <c r="AM114" i="4"/>
  <c r="AM107" i="4"/>
  <c r="AM110" i="4"/>
  <c r="AM63" i="4"/>
  <c r="AM158" i="4"/>
  <c r="AM95" i="4"/>
  <c r="AM103" i="4"/>
  <c r="AM79" i="4"/>
  <c r="AM111" i="4"/>
  <c r="AM72" i="4"/>
  <c r="AM73" i="4"/>
  <c r="AM91" i="4"/>
  <c r="AM64" i="4"/>
  <c r="AM93" i="4"/>
  <c r="AM112" i="4"/>
  <c r="AM92" i="4"/>
  <c r="AM68" i="4"/>
  <c r="AM69" i="4"/>
  <c r="AM87" i="4"/>
  <c r="AM67" i="4"/>
  <c r="AM109" i="4"/>
  <c r="AL41" i="4"/>
  <c r="AM31" i="4"/>
  <c r="AM14" i="4"/>
  <c r="AM26" i="4"/>
  <c r="AM30" i="4"/>
  <c r="AM13" i="4"/>
  <c r="AM25" i="4"/>
  <c r="AM32" i="4"/>
  <c r="AM15" i="4"/>
  <c r="AM37" i="4"/>
  <c r="AM20" i="4"/>
  <c r="AM27" i="4"/>
  <c r="AM51" i="4"/>
  <c r="AM34" i="4"/>
  <c r="AM50" i="4"/>
  <c r="AM33" i="4"/>
  <c r="AM39" i="4"/>
  <c r="AM19" i="4"/>
  <c r="AM38" i="4"/>
  <c r="AM21" i="4"/>
  <c r="AM24" i="4"/>
  <c r="AM16" i="4"/>
  <c r="AM35" i="4"/>
  <c r="AM23" i="4"/>
  <c r="AM18" i="4"/>
  <c r="AM36" i="4"/>
  <c r="AM17" i="4"/>
  <c r="AM22" i="4"/>
  <c r="AL227" i="4"/>
  <c r="AL206" i="4"/>
  <c r="AL185" i="4"/>
  <c r="AL164" i="4"/>
  <c r="AO2" i="4"/>
  <c r="AN3" i="4"/>
  <c r="AN364" i="4" s="1"/>
  <c r="AM311" i="4" l="1"/>
  <c r="AM332" i="4"/>
  <c r="AM290" i="4"/>
  <c r="AM143" i="4"/>
  <c r="AM269" i="4"/>
  <c r="AM248" i="4"/>
  <c r="AN377" i="4"/>
  <c r="AL379" i="4"/>
  <c r="AO375" i="4"/>
  <c r="AO374" i="4"/>
  <c r="AM53" i="4"/>
  <c r="AM348" i="4"/>
  <c r="AN134" i="4"/>
  <c r="AN130" i="4"/>
  <c r="AN133" i="4"/>
  <c r="AN132" i="4"/>
  <c r="AN125" i="4"/>
  <c r="AN131" i="4"/>
  <c r="AN129" i="4"/>
  <c r="AN126" i="4"/>
  <c r="AN128" i="4"/>
  <c r="AN127" i="4"/>
  <c r="AN337" i="4"/>
  <c r="AN356" i="4"/>
  <c r="AN358" i="4" s="1"/>
  <c r="AN182" i="4"/>
  <c r="AN172" i="4"/>
  <c r="AN171" i="4"/>
  <c r="AN316" i="4"/>
  <c r="AN323" i="4"/>
  <c r="AN173" i="4"/>
  <c r="AN175" i="4"/>
  <c r="AN176" i="4"/>
  <c r="AN179" i="4"/>
  <c r="AN174" i="4"/>
  <c r="AN314" i="4"/>
  <c r="AN319" i="4"/>
  <c r="AN302" i="4"/>
  <c r="AN305" i="4"/>
  <c r="AN298" i="4"/>
  <c r="AN301" i="4"/>
  <c r="AN170" i="4"/>
  <c r="AN320" i="4"/>
  <c r="AN329" i="4"/>
  <c r="AN315" i="4"/>
  <c r="AN326" i="4"/>
  <c r="AN181" i="4"/>
  <c r="AN318" i="4"/>
  <c r="AN295" i="4"/>
  <c r="AN217" i="4"/>
  <c r="AN168" i="4"/>
  <c r="AN328" i="4"/>
  <c r="AN309" i="4"/>
  <c r="AN224" i="4"/>
  <c r="AN308" i="4"/>
  <c r="AN215" i="4"/>
  <c r="AN297" i="4"/>
  <c r="AN216" i="4"/>
  <c r="AN211" i="4"/>
  <c r="AN167" i="4"/>
  <c r="AN223" i="4"/>
  <c r="AN195" i="4"/>
  <c r="AN204" i="4"/>
  <c r="AN294" i="4"/>
  <c r="AN218" i="4"/>
  <c r="AN210" i="4"/>
  <c r="AN327" i="4"/>
  <c r="AN203" i="4"/>
  <c r="AN330" i="4"/>
  <c r="AN221" i="4"/>
  <c r="AN222" i="4"/>
  <c r="AN201" i="4"/>
  <c r="AN192" i="4"/>
  <c r="AN180" i="4"/>
  <c r="AN189" i="4"/>
  <c r="AN299" i="4"/>
  <c r="AN225" i="4"/>
  <c r="AN214" i="4"/>
  <c r="AN194" i="4"/>
  <c r="AN191" i="4"/>
  <c r="AN307" i="4"/>
  <c r="AN188" i="4"/>
  <c r="AN322" i="4"/>
  <c r="AN193" i="4"/>
  <c r="AN169" i="4"/>
  <c r="AN183" i="4"/>
  <c r="AN190" i="4"/>
  <c r="AN200" i="4"/>
  <c r="AN202" i="4"/>
  <c r="AN293" i="4"/>
  <c r="AN306" i="4"/>
  <c r="AN296" i="4"/>
  <c r="AN300" i="4"/>
  <c r="AN317" i="4"/>
  <c r="AN197" i="4"/>
  <c r="AN209" i="4"/>
  <c r="AN321" i="4"/>
  <c r="AN196" i="4"/>
  <c r="AN213" i="4"/>
  <c r="AN212" i="4"/>
  <c r="AN341" i="4"/>
  <c r="AN340" i="4"/>
  <c r="AN345" i="4"/>
  <c r="AN346" i="4"/>
  <c r="AN338" i="4"/>
  <c r="AN339" i="4"/>
  <c r="AN369" i="4"/>
  <c r="AN236" i="4"/>
  <c r="AN239" i="4"/>
  <c r="AN258" i="4"/>
  <c r="AN287" i="4"/>
  <c r="AN260" i="4"/>
  <c r="AN259" i="4"/>
  <c r="AN237" i="4"/>
  <c r="AN256" i="4"/>
  <c r="AN286" i="4"/>
  <c r="AN272" i="4"/>
  <c r="AN285" i="4"/>
  <c r="AN278" i="4"/>
  <c r="AN238" i="4"/>
  <c r="AN231" i="4"/>
  <c r="AN246" i="4"/>
  <c r="AN234" i="4"/>
  <c r="AN274" i="4"/>
  <c r="AN243" i="4"/>
  <c r="AN235" i="4"/>
  <c r="AN242" i="4"/>
  <c r="AN266" i="4"/>
  <c r="AN267" i="4"/>
  <c r="AN284" i="4"/>
  <c r="AN276" i="4"/>
  <c r="AN253" i="4"/>
  <c r="AN288" i="4"/>
  <c r="AN280" i="4"/>
  <c r="AN264" i="4"/>
  <c r="AN257" i="4"/>
  <c r="AN252" i="4"/>
  <c r="AN230" i="4"/>
  <c r="AN245" i="4"/>
  <c r="AN244" i="4"/>
  <c r="AN251" i="4"/>
  <c r="AN265" i="4"/>
  <c r="AN273" i="4"/>
  <c r="AN232" i="4"/>
  <c r="AN255" i="4"/>
  <c r="AN254" i="4"/>
  <c r="AN281" i="4"/>
  <c r="AN263" i="4"/>
  <c r="AN275" i="4"/>
  <c r="AN233" i="4"/>
  <c r="AN277" i="4"/>
  <c r="AN279" i="4"/>
  <c r="AN342" i="4"/>
  <c r="AN344" i="4"/>
  <c r="AN343" i="4"/>
  <c r="AN161" i="4"/>
  <c r="AN140" i="4"/>
  <c r="AN76" i="4"/>
  <c r="AN91" i="4"/>
  <c r="AN107" i="4"/>
  <c r="AN150" i="4"/>
  <c r="AN138" i="4"/>
  <c r="AN78" i="4"/>
  <c r="AN63" i="4"/>
  <c r="AN159" i="4"/>
  <c r="AN72" i="4"/>
  <c r="AN87" i="4"/>
  <c r="AN152" i="4"/>
  <c r="AN154" i="4"/>
  <c r="AN146" i="4"/>
  <c r="AN148" i="4"/>
  <c r="AN90" i="4"/>
  <c r="AN62" i="4"/>
  <c r="AN67" i="4"/>
  <c r="AN160" i="4"/>
  <c r="AN139" i="4"/>
  <c r="AN122" i="4"/>
  <c r="AN74" i="4"/>
  <c r="AN88" i="4"/>
  <c r="AN101" i="4"/>
  <c r="AN66" i="4"/>
  <c r="AN162" i="4"/>
  <c r="AN75" i="4"/>
  <c r="AN86" i="4"/>
  <c r="AN92" i="4"/>
  <c r="AN93" i="4"/>
  <c r="AN95" i="4"/>
  <c r="AN69" i="4"/>
  <c r="AN98" i="4"/>
  <c r="AN100" i="4"/>
  <c r="AN149" i="4"/>
  <c r="AN137" i="4"/>
  <c r="AN94" i="4"/>
  <c r="AN99" i="4"/>
  <c r="AN113" i="4"/>
  <c r="AN141" i="4"/>
  <c r="AN103" i="4"/>
  <c r="AN106" i="4"/>
  <c r="AN68" i="4"/>
  <c r="AN77" i="4"/>
  <c r="AN84" i="4"/>
  <c r="AN108" i="4"/>
  <c r="AN114" i="4"/>
  <c r="AN102" i="4"/>
  <c r="AN109" i="4"/>
  <c r="AN110" i="4"/>
  <c r="AN158" i="4"/>
  <c r="AN151" i="4"/>
  <c r="AN153" i="4"/>
  <c r="AN65" i="4"/>
  <c r="AN155" i="4"/>
  <c r="AN73" i="4"/>
  <c r="AN79" i="4"/>
  <c r="AN83" i="4"/>
  <c r="AN147" i="4"/>
  <c r="AN115" i="4"/>
  <c r="AN64" i="4"/>
  <c r="AN85" i="4"/>
  <c r="AN111" i="4"/>
  <c r="AN89" i="4"/>
  <c r="AN112" i="4"/>
  <c r="AM117" i="4"/>
  <c r="AM41" i="4"/>
  <c r="AN32" i="4"/>
  <c r="AN15" i="4"/>
  <c r="AN27" i="4"/>
  <c r="AN31" i="4"/>
  <c r="AN14" i="4"/>
  <c r="AN26" i="4"/>
  <c r="AN39" i="4"/>
  <c r="AN22" i="4"/>
  <c r="AN20" i="4"/>
  <c r="AN30" i="4"/>
  <c r="AN13" i="4"/>
  <c r="AN37" i="4"/>
  <c r="AN21" i="4"/>
  <c r="AN51" i="4"/>
  <c r="AN34" i="4"/>
  <c r="AN50" i="4"/>
  <c r="AN33" i="4"/>
  <c r="AN18" i="4"/>
  <c r="AN38" i="4"/>
  <c r="AN24" i="4"/>
  <c r="AN35" i="4"/>
  <c r="AN19" i="4"/>
  <c r="AN16" i="4"/>
  <c r="AN23" i="4"/>
  <c r="AN25" i="4"/>
  <c r="AN17" i="4"/>
  <c r="AN36" i="4"/>
  <c r="AM227" i="4"/>
  <c r="AM206" i="4"/>
  <c r="AM185" i="4"/>
  <c r="AM164" i="4"/>
  <c r="AP2" i="4"/>
  <c r="AO3" i="4"/>
  <c r="AO364" i="4" s="1"/>
  <c r="AO377" i="4" l="1"/>
  <c r="AN290" i="4"/>
  <c r="AN269" i="4"/>
  <c r="AN332" i="4"/>
  <c r="AN143" i="4"/>
  <c r="AN311" i="4"/>
  <c r="AN248" i="4"/>
  <c r="AM379" i="4"/>
  <c r="AP375" i="4"/>
  <c r="AP374" i="4"/>
  <c r="AN348" i="4"/>
  <c r="AO133" i="4"/>
  <c r="AO126" i="4"/>
  <c r="AO132" i="4"/>
  <c r="AO356" i="4"/>
  <c r="AO358" i="4" s="1"/>
  <c r="AO129" i="4"/>
  <c r="AO131" i="4"/>
  <c r="AO337" i="4"/>
  <c r="AO130" i="4"/>
  <c r="AO125" i="4"/>
  <c r="AO127" i="4"/>
  <c r="AO128" i="4"/>
  <c r="AO134" i="4"/>
  <c r="AO172" i="4"/>
  <c r="AO181" i="4"/>
  <c r="AO315" i="4"/>
  <c r="AO174" i="4"/>
  <c r="AO183" i="4"/>
  <c r="AO326" i="4"/>
  <c r="AO169" i="4"/>
  <c r="AO314" i="4"/>
  <c r="AO321" i="4"/>
  <c r="AO168" i="4"/>
  <c r="AO175" i="4"/>
  <c r="AO171" i="4"/>
  <c r="AO182" i="4"/>
  <c r="AO330" i="4"/>
  <c r="AO318" i="4"/>
  <c r="AO320" i="4"/>
  <c r="AO319" i="4"/>
  <c r="AO179" i="4"/>
  <c r="AO173" i="4"/>
  <c r="AO294" i="4"/>
  <c r="AO302" i="4"/>
  <c r="AO297" i="4"/>
  <c r="AO224" i="4"/>
  <c r="AO212" i="4"/>
  <c r="AO204" i="4"/>
  <c r="AO192" i="4"/>
  <c r="AO180" i="4"/>
  <c r="AO210" i="4"/>
  <c r="AO170" i="4"/>
  <c r="AO308" i="4"/>
  <c r="AO301" i="4"/>
  <c r="AO216" i="4"/>
  <c r="AO329" i="4"/>
  <c r="AO225" i="4"/>
  <c r="AO295" i="4"/>
  <c r="AO296" i="4"/>
  <c r="AO215" i="4"/>
  <c r="AO195" i="4"/>
  <c r="AO196" i="4"/>
  <c r="AO193" i="4"/>
  <c r="AO305" i="4"/>
  <c r="AO317" i="4"/>
  <c r="AO327" i="4"/>
  <c r="AO298" i="4"/>
  <c r="AO222" i="4"/>
  <c r="AO176" i="4"/>
  <c r="AO316" i="4"/>
  <c r="AO309" i="4"/>
  <c r="AO306" i="4"/>
  <c r="AO300" i="4"/>
  <c r="AO217" i="4"/>
  <c r="AO307" i="4"/>
  <c r="AO200" i="4"/>
  <c r="AO202" i="4"/>
  <c r="AO197" i="4"/>
  <c r="AO218" i="4"/>
  <c r="AO214" i="4"/>
  <c r="AO190" i="4"/>
  <c r="AO299" i="4"/>
  <c r="AO191" i="4"/>
  <c r="AO167" i="4"/>
  <c r="AO223" i="4"/>
  <c r="AO213" i="4"/>
  <c r="AO189" i="4"/>
  <c r="AO211" i="4"/>
  <c r="AO194" i="4"/>
  <c r="AO221" i="4"/>
  <c r="AO203" i="4"/>
  <c r="AO323" i="4"/>
  <c r="AO322" i="4"/>
  <c r="AO209" i="4"/>
  <c r="AO188" i="4"/>
  <c r="AO201" i="4"/>
  <c r="AO293" i="4"/>
  <c r="AO328" i="4"/>
  <c r="AO341" i="4"/>
  <c r="AO346" i="4"/>
  <c r="AO339" i="4"/>
  <c r="AO340" i="4"/>
  <c r="AO338" i="4"/>
  <c r="AO345" i="4"/>
  <c r="AO369" i="4"/>
  <c r="AO237" i="4"/>
  <c r="AO231" i="4"/>
  <c r="AO287" i="4"/>
  <c r="AO267" i="4"/>
  <c r="AO281" i="4"/>
  <c r="AO288" i="4"/>
  <c r="AO273" i="4"/>
  <c r="AO277" i="4"/>
  <c r="AO238" i="4"/>
  <c r="AO242" i="4"/>
  <c r="AO272" i="4"/>
  <c r="AO284" i="4"/>
  <c r="AO232" i="4"/>
  <c r="AO246" i="4"/>
  <c r="AO235" i="4"/>
  <c r="AO257" i="4"/>
  <c r="AO255" i="4"/>
  <c r="AO253" i="4"/>
  <c r="AO259" i="4"/>
  <c r="AO260" i="4"/>
  <c r="AO265" i="4"/>
  <c r="AO280" i="4"/>
  <c r="AO279" i="4"/>
  <c r="AO278" i="4"/>
  <c r="AO243" i="4"/>
  <c r="AO264" i="4"/>
  <c r="AO252" i="4"/>
  <c r="AO244" i="4"/>
  <c r="AO254" i="4"/>
  <c r="AO276" i="4"/>
  <c r="AO266" i="4"/>
  <c r="AO258" i="4"/>
  <c r="AO230" i="4"/>
  <c r="AO233" i="4"/>
  <c r="AO286" i="4"/>
  <c r="AO274" i="4"/>
  <c r="AO245" i="4"/>
  <c r="AO251" i="4"/>
  <c r="AO236" i="4"/>
  <c r="AO263" i="4"/>
  <c r="AO285" i="4"/>
  <c r="AO234" i="4"/>
  <c r="AO275" i="4"/>
  <c r="AO239" i="4"/>
  <c r="AO256" i="4"/>
  <c r="AO343" i="4"/>
  <c r="AO342" i="4"/>
  <c r="AO344" i="4"/>
  <c r="AN53" i="4"/>
  <c r="AO162" i="4"/>
  <c r="AO141" i="4"/>
  <c r="AO148" i="4"/>
  <c r="AO150" i="4"/>
  <c r="AO159" i="4"/>
  <c r="AO147" i="4"/>
  <c r="AO77" i="4"/>
  <c r="AO92" i="4"/>
  <c r="AO108" i="4"/>
  <c r="AO151" i="4"/>
  <c r="AO153" i="4"/>
  <c r="AO139" i="4"/>
  <c r="AO149" i="4"/>
  <c r="AO154" i="4"/>
  <c r="AO109" i="4"/>
  <c r="AO64" i="4"/>
  <c r="AO158" i="4"/>
  <c r="AO140" i="4"/>
  <c r="AO76" i="4"/>
  <c r="AO137" i="4"/>
  <c r="AO73" i="4"/>
  <c r="AO103" i="4"/>
  <c r="AO68" i="4"/>
  <c r="AO90" i="4"/>
  <c r="AO62" i="4"/>
  <c r="AO67" i="4"/>
  <c r="AO152" i="4"/>
  <c r="AO146" i="4"/>
  <c r="AO72" i="4"/>
  <c r="AO87" i="4"/>
  <c r="AO112" i="4"/>
  <c r="AO65" i="4"/>
  <c r="AO113" i="4"/>
  <c r="AO161" i="4"/>
  <c r="AO75" i="4"/>
  <c r="AO78" i="4"/>
  <c r="AO86" i="4"/>
  <c r="AO93" i="4"/>
  <c r="AO95" i="4"/>
  <c r="AO69" i="4"/>
  <c r="AO160" i="4"/>
  <c r="AO138" i="4"/>
  <c r="AO94" i="4"/>
  <c r="AO99" i="4"/>
  <c r="AO85" i="4"/>
  <c r="AO102" i="4"/>
  <c r="AO106" i="4"/>
  <c r="AO89" i="4"/>
  <c r="AO110" i="4"/>
  <c r="AO63" i="4"/>
  <c r="AO122" i="4"/>
  <c r="AO79" i="4"/>
  <c r="AO83" i="4"/>
  <c r="AO84" i="4"/>
  <c r="AO91" i="4"/>
  <c r="AO155" i="4"/>
  <c r="AO74" i="4"/>
  <c r="AO98" i="4"/>
  <c r="AO114" i="4"/>
  <c r="AO107" i="4"/>
  <c r="AO100" i="4"/>
  <c r="AO115" i="4"/>
  <c r="AO88" i="4"/>
  <c r="AO111" i="4"/>
  <c r="AO101" i="4"/>
  <c r="AO66" i="4"/>
  <c r="AN117" i="4"/>
  <c r="AN41" i="4"/>
  <c r="AO33" i="4"/>
  <c r="AO16" i="4"/>
  <c r="AO32" i="4"/>
  <c r="AO15" i="4"/>
  <c r="AO27" i="4"/>
  <c r="AO34" i="4"/>
  <c r="AO17" i="4"/>
  <c r="AO39" i="4"/>
  <c r="AO22" i="4"/>
  <c r="AO30" i="4"/>
  <c r="AO13" i="4"/>
  <c r="AO21" i="4"/>
  <c r="AO51" i="4"/>
  <c r="AO38" i="4"/>
  <c r="AO37" i="4"/>
  <c r="AO26" i="4"/>
  <c r="AO14" i="4"/>
  <c r="AO18" i="4"/>
  <c r="AO35" i="4"/>
  <c r="AO19" i="4"/>
  <c r="AO24" i="4"/>
  <c r="AO50" i="4"/>
  <c r="AO23" i="4"/>
  <c r="AO20" i="4"/>
  <c r="AO31" i="4"/>
  <c r="AO25" i="4"/>
  <c r="AO36" i="4"/>
  <c r="AN227" i="4"/>
  <c r="AN206" i="4"/>
  <c r="AN185" i="4"/>
  <c r="AN164" i="4"/>
  <c r="AQ2" i="4"/>
  <c r="AP3" i="4"/>
  <c r="AP364" i="4" s="1"/>
  <c r="AO143" i="4" l="1"/>
  <c r="AO311" i="4"/>
  <c r="AO332" i="4"/>
  <c r="AO290" i="4"/>
  <c r="AO269" i="4"/>
  <c r="AO248" i="4"/>
  <c r="AP377" i="4"/>
  <c r="AN379" i="4"/>
  <c r="AQ375" i="4"/>
  <c r="AQ374" i="4"/>
  <c r="AP129" i="4"/>
  <c r="AP125" i="4"/>
  <c r="AP128" i="4"/>
  <c r="AP130" i="4"/>
  <c r="AP356" i="4"/>
  <c r="AP358" i="4" s="1"/>
  <c r="AP134" i="4"/>
  <c r="AP126" i="4"/>
  <c r="AP127" i="4"/>
  <c r="AP133" i="4"/>
  <c r="AP337" i="4"/>
  <c r="AP132" i="4"/>
  <c r="AP131" i="4"/>
  <c r="AP180" i="4"/>
  <c r="AP321" i="4"/>
  <c r="AP323" i="4"/>
  <c r="AP329" i="4"/>
  <c r="AP179" i="4"/>
  <c r="AP170" i="4"/>
  <c r="AP322" i="4"/>
  <c r="AP318" i="4"/>
  <c r="AP327" i="4"/>
  <c r="AP175" i="4"/>
  <c r="AP328" i="4"/>
  <c r="AP182" i="4"/>
  <c r="AP293" i="4"/>
  <c r="AP297" i="4"/>
  <c r="AP306" i="4"/>
  <c r="AP209" i="4"/>
  <c r="AP302" i="4"/>
  <c r="AP168" i="4"/>
  <c r="AP181" i="4"/>
  <c r="AP316" i="4"/>
  <c r="AP308" i="4"/>
  <c r="AP173" i="4"/>
  <c r="AP298" i="4"/>
  <c r="AP326" i="4"/>
  <c r="AP296" i="4"/>
  <c r="AP221" i="4"/>
  <c r="AP167" i="4"/>
  <c r="AP307" i="4"/>
  <c r="AP211" i="4"/>
  <c r="AP212" i="4"/>
  <c r="AP330" i="4"/>
  <c r="AP305" i="4"/>
  <c r="AP301" i="4"/>
  <c r="AP300" i="4"/>
  <c r="AP299" i="4"/>
  <c r="AP215" i="4"/>
  <c r="AP223" i="4"/>
  <c r="AP224" i="4"/>
  <c r="AP171" i="4"/>
  <c r="AP317" i="4"/>
  <c r="AP217" i="4"/>
  <c r="AP210" i="4"/>
  <c r="AP201" i="4"/>
  <c r="AP192" i="4"/>
  <c r="AP193" i="4"/>
  <c r="AP176" i="4"/>
  <c r="AP218" i="4"/>
  <c r="AP183" i="4"/>
  <c r="AP204" i="4"/>
  <c r="AP213" i="4"/>
  <c r="AP216" i="4"/>
  <c r="AP320" i="4"/>
  <c r="AP315" i="4"/>
  <c r="AP319" i="4"/>
  <c r="AP225" i="4"/>
  <c r="AP191" i="4"/>
  <c r="AP169" i="4"/>
  <c r="AP294" i="4"/>
  <c r="AP214" i="4"/>
  <c r="AP188" i="4"/>
  <c r="AP202" i="4"/>
  <c r="AP189" i="4"/>
  <c r="AP197" i="4"/>
  <c r="AP203" i="4"/>
  <c r="AP196" i="4"/>
  <c r="AP295" i="4"/>
  <c r="AP314" i="4"/>
  <c r="AP190" i="4"/>
  <c r="AP195" i="4"/>
  <c r="AP174" i="4"/>
  <c r="AP222" i="4"/>
  <c r="AP172" i="4"/>
  <c r="AP200" i="4"/>
  <c r="AP194" i="4"/>
  <c r="AP309" i="4"/>
  <c r="AP346" i="4"/>
  <c r="AP339" i="4"/>
  <c r="AP340" i="4"/>
  <c r="AP345" i="4"/>
  <c r="AP341" i="4"/>
  <c r="AP338" i="4"/>
  <c r="AP369" i="4"/>
  <c r="AP233" i="4"/>
  <c r="AP266" i="4"/>
  <c r="AP277" i="4"/>
  <c r="AP285" i="4"/>
  <c r="AP279" i="4"/>
  <c r="AP275" i="4"/>
  <c r="AP234" i="4"/>
  <c r="AP256" i="4"/>
  <c r="AP265" i="4"/>
  <c r="AP242" i="4"/>
  <c r="AP235" i="4"/>
  <c r="AP230" i="4"/>
  <c r="AP264" i="4"/>
  <c r="AP267" i="4"/>
  <c r="AP258" i="4"/>
  <c r="AP278" i="4"/>
  <c r="AP237" i="4"/>
  <c r="AP287" i="4"/>
  <c r="AP281" i="4"/>
  <c r="AP251" i="4"/>
  <c r="AP252" i="4"/>
  <c r="AP284" i="4"/>
  <c r="AP238" i="4"/>
  <c r="AP245" i="4"/>
  <c r="AP239" i="4"/>
  <c r="AP272" i="4"/>
  <c r="AP254" i="4"/>
  <c r="AP288" i="4"/>
  <c r="AP280" i="4"/>
  <c r="AP246" i="4"/>
  <c r="AP257" i="4"/>
  <c r="AP231" i="4"/>
  <c r="AP253" i="4"/>
  <c r="AP236" i="4"/>
  <c r="AP259" i="4"/>
  <c r="AP263" i="4"/>
  <c r="AP286" i="4"/>
  <c r="AP232" i="4"/>
  <c r="AP244" i="4"/>
  <c r="AP274" i="4"/>
  <c r="AP243" i="4"/>
  <c r="AP260" i="4"/>
  <c r="AP276" i="4"/>
  <c r="AP255" i="4"/>
  <c r="AP273" i="4"/>
  <c r="AP344" i="4"/>
  <c r="AP343" i="4"/>
  <c r="AP342" i="4"/>
  <c r="AO348" i="4"/>
  <c r="AO117" i="4"/>
  <c r="AP152" i="4"/>
  <c r="AP154" i="4"/>
  <c r="AP146" i="4"/>
  <c r="AP139" i="4"/>
  <c r="AP78" i="4"/>
  <c r="AP93" i="4"/>
  <c r="AP109" i="4"/>
  <c r="AP149" i="4"/>
  <c r="AP158" i="4"/>
  <c r="AP161" i="4"/>
  <c r="AP162" i="4"/>
  <c r="AP98" i="4"/>
  <c r="AP101" i="4"/>
  <c r="AP106" i="4"/>
  <c r="AP147" i="4"/>
  <c r="AP140" i="4"/>
  <c r="AP150" i="4"/>
  <c r="AP77" i="4"/>
  <c r="AP83" i="4"/>
  <c r="AP92" i="4"/>
  <c r="AP94" i="4"/>
  <c r="AP107" i="4"/>
  <c r="AP111" i="4"/>
  <c r="AP114" i="4"/>
  <c r="AP69" i="4"/>
  <c r="AP148" i="4"/>
  <c r="AP137" i="4"/>
  <c r="AP73" i="4"/>
  <c r="AP103" i="4"/>
  <c r="AP151" i="4"/>
  <c r="AP155" i="4"/>
  <c r="AP91" i="4"/>
  <c r="AP95" i="4"/>
  <c r="AP72" i="4"/>
  <c r="AP87" i="4"/>
  <c r="AP112" i="4"/>
  <c r="AP65" i="4"/>
  <c r="AP75" i="4"/>
  <c r="AP86" i="4"/>
  <c r="AP159" i="4"/>
  <c r="AP74" i="4"/>
  <c r="AP100" i="4"/>
  <c r="AP85" i="4"/>
  <c r="AP102" i="4"/>
  <c r="AP66" i="4"/>
  <c r="AP89" i="4"/>
  <c r="AP113" i="4"/>
  <c r="AP160" i="4"/>
  <c r="AP90" i="4"/>
  <c r="AP110" i="4"/>
  <c r="AP63" i="4"/>
  <c r="AP76" i="4"/>
  <c r="AP122" i="4"/>
  <c r="AP153" i="4"/>
  <c r="AP79" i="4"/>
  <c r="AP84" i="4"/>
  <c r="AP138" i="4"/>
  <c r="AP115" i="4"/>
  <c r="AP64" i="4"/>
  <c r="AP99" i="4"/>
  <c r="AP68" i="4"/>
  <c r="AP141" i="4"/>
  <c r="AP108" i="4"/>
  <c r="AP62" i="4"/>
  <c r="AP67" i="4"/>
  <c r="AP88" i="4"/>
  <c r="AO53" i="4"/>
  <c r="AO41" i="4"/>
  <c r="AP34" i="4"/>
  <c r="AP17" i="4"/>
  <c r="AP33" i="4"/>
  <c r="AP16" i="4"/>
  <c r="AP24" i="4"/>
  <c r="AP32" i="4"/>
  <c r="AP15" i="4"/>
  <c r="AP39" i="4"/>
  <c r="AP22" i="4"/>
  <c r="AP50" i="4"/>
  <c r="AP14" i="4"/>
  <c r="AP25" i="4"/>
  <c r="AP38" i="4"/>
  <c r="AP13" i="4"/>
  <c r="AP23" i="4"/>
  <c r="AP26" i="4"/>
  <c r="AP18" i="4"/>
  <c r="AP21" i="4"/>
  <c r="AP27" i="4"/>
  <c r="AP31" i="4"/>
  <c r="AP36" i="4"/>
  <c r="AP51" i="4"/>
  <c r="AP19" i="4"/>
  <c r="AP35" i="4"/>
  <c r="AP37" i="4"/>
  <c r="AP20" i="4"/>
  <c r="AP30" i="4"/>
  <c r="AO227" i="4"/>
  <c r="AO206" i="4"/>
  <c r="AO185" i="4"/>
  <c r="AO164" i="4"/>
  <c r="AR2" i="4"/>
  <c r="AQ3" i="4"/>
  <c r="AQ364" i="4" s="1"/>
  <c r="AP290" i="4" l="1"/>
  <c r="AP248" i="4"/>
  <c r="AP311" i="4"/>
  <c r="AP269" i="4"/>
  <c r="AP332" i="4"/>
  <c r="AP143" i="4"/>
  <c r="AO379" i="4"/>
  <c r="AQ377" i="4"/>
  <c r="AR375" i="4"/>
  <c r="AR374" i="4"/>
  <c r="AQ130" i="4"/>
  <c r="AQ131" i="4"/>
  <c r="AQ132" i="4"/>
  <c r="AQ337" i="4"/>
  <c r="AQ356" i="4"/>
  <c r="AQ358" i="4" s="1"/>
  <c r="AQ127" i="4"/>
  <c r="AQ125" i="4"/>
  <c r="AQ134" i="4"/>
  <c r="AQ129" i="4"/>
  <c r="AQ126" i="4"/>
  <c r="AQ128" i="4"/>
  <c r="AQ133" i="4"/>
  <c r="AQ179" i="4"/>
  <c r="AQ182" i="4"/>
  <c r="AQ167" i="4"/>
  <c r="AQ176" i="4"/>
  <c r="AQ169" i="4"/>
  <c r="AQ180" i="4"/>
  <c r="AQ320" i="4"/>
  <c r="AQ319" i="4"/>
  <c r="AQ317" i="4"/>
  <c r="AQ309" i="4"/>
  <c r="AQ298" i="4"/>
  <c r="AQ173" i="4"/>
  <c r="AQ172" i="4"/>
  <c r="AQ299" i="4"/>
  <c r="AQ181" i="4"/>
  <c r="AQ323" i="4"/>
  <c r="AQ314" i="4"/>
  <c r="AQ330" i="4"/>
  <c r="AQ294" i="4"/>
  <c r="AQ171" i="4"/>
  <c r="AQ315" i="4"/>
  <c r="AQ328" i="4"/>
  <c r="AQ322" i="4"/>
  <c r="AQ305" i="4"/>
  <c r="AQ174" i="4"/>
  <c r="AQ327" i="4"/>
  <c r="AQ195" i="4"/>
  <c r="AQ204" i="4"/>
  <c r="AQ221" i="4"/>
  <c r="AQ168" i="4"/>
  <c r="AQ218" i="4"/>
  <c r="AQ326" i="4"/>
  <c r="AQ297" i="4"/>
  <c r="AQ222" i="4"/>
  <c r="AQ209" i="4"/>
  <c r="AQ217" i="4"/>
  <c r="AQ212" i="4"/>
  <c r="AQ194" i="4"/>
  <c r="AQ213" i="4"/>
  <c r="AQ170" i="4"/>
  <c r="AQ307" i="4"/>
  <c r="AQ308" i="4"/>
  <c r="AQ215" i="4"/>
  <c r="AQ210" i="4"/>
  <c r="AQ316" i="4"/>
  <c r="AQ321" i="4"/>
  <c r="AQ188" i="4"/>
  <c r="AQ214" i="4"/>
  <c r="AQ224" i="4"/>
  <c r="AQ200" i="4"/>
  <c r="AQ211" i="4"/>
  <c r="AQ216" i="4"/>
  <c r="AQ175" i="4"/>
  <c r="AQ197" i="4"/>
  <c r="AQ196" i="4"/>
  <c r="AQ183" i="4"/>
  <c r="AQ329" i="4"/>
  <c r="AQ293" i="4"/>
  <c r="AQ301" i="4"/>
  <c r="AQ302" i="4"/>
  <c r="AQ203" i="4"/>
  <c r="AQ296" i="4"/>
  <c r="AQ223" i="4"/>
  <c r="AQ201" i="4"/>
  <c r="AQ202" i="4"/>
  <c r="AQ295" i="4"/>
  <c r="AQ306" i="4"/>
  <c r="AQ193" i="4"/>
  <c r="AQ192" i="4"/>
  <c r="AQ190" i="4"/>
  <c r="AQ300" i="4"/>
  <c r="AQ318" i="4"/>
  <c r="AQ189" i="4"/>
  <c r="AQ191" i="4"/>
  <c r="AQ225" i="4"/>
  <c r="AQ346" i="4"/>
  <c r="AQ338" i="4"/>
  <c r="AQ340" i="4"/>
  <c r="AQ341" i="4"/>
  <c r="AQ339" i="4"/>
  <c r="AQ345" i="4"/>
  <c r="AQ369" i="4"/>
  <c r="AQ245" i="4"/>
  <c r="AQ237" i="4"/>
  <c r="AQ266" i="4"/>
  <c r="AQ288" i="4"/>
  <c r="AQ274" i="4"/>
  <c r="AQ231" i="4"/>
  <c r="AQ235" i="4"/>
  <c r="AQ264" i="4"/>
  <c r="AQ260" i="4"/>
  <c r="AQ287" i="4"/>
  <c r="AQ284" i="4"/>
  <c r="AQ286" i="4"/>
  <c r="AQ232" i="4"/>
  <c r="AQ238" i="4"/>
  <c r="AQ234" i="4"/>
  <c r="AQ285" i="4"/>
  <c r="AQ265" i="4"/>
  <c r="AQ243" i="4"/>
  <c r="AQ263" i="4"/>
  <c r="AQ255" i="4"/>
  <c r="AQ276" i="4"/>
  <c r="AQ275" i="4"/>
  <c r="AQ242" i="4"/>
  <c r="AQ246" i="4"/>
  <c r="AQ239" i="4"/>
  <c r="AQ230" i="4"/>
  <c r="AQ253" i="4"/>
  <c r="AQ257" i="4"/>
  <c r="AQ267" i="4"/>
  <c r="AQ280" i="4"/>
  <c r="AQ251" i="4"/>
  <c r="AQ256" i="4"/>
  <c r="AQ252" i="4"/>
  <c r="AQ236" i="4"/>
  <c r="AQ273" i="4"/>
  <c r="AQ278" i="4"/>
  <c r="AQ233" i="4"/>
  <c r="AQ244" i="4"/>
  <c r="AQ254" i="4"/>
  <c r="AQ277" i="4"/>
  <c r="AQ272" i="4"/>
  <c r="AQ281" i="4"/>
  <c r="AQ279" i="4"/>
  <c r="AQ258" i="4"/>
  <c r="AQ259" i="4"/>
  <c r="AQ344" i="4"/>
  <c r="AQ342" i="4"/>
  <c r="AQ343" i="4"/>
  <c r="AP348" i="4"/>
  <c r="AQ158" i="4"/>
  <c r="AQ146" i="4"/>
  <c r="AQ137" i="4"/>
  <c r="AQ161" i="4"/>
  <c r="AQ79" i="4"/>
  <c r="AQ94" i="4"/>
  <c r="AQ110" i="4"/>
  <c r="AQ148" i="4"/>
  <c r="AQ140" i="4"/>
  <c r="AQ150" i="4"/>
  <c r="AQ72" i="4"/>
  <c r="AQ75" i="4"/>
  <c r="AQ78" i="4"/>
  <c r="AQ160" i="4"/>
  <c r="AQ147" i="4"/>
  <c r="AQ84" i="4"/>
  <c r="AQ87" i="4"/>
  <c r="AQ90" i="4"/>
  <c r="AQ93" i="4"/>
  <c r="AQ138" i="4"/>
  <c r="AQ85" i="4"/>
  <c r="AQ77" i="4"/>
  <c r="AQ83" i="4"/>
  <c r="AQ92" i="4"/>
  <c r="AQ107" i="4"/>
  <c r="AQ111" i="4"/>
  <c r="AQ114" i="4"/>
  <c r="AQ153" i="4"/>
  <c r="AQ154" i="4"/>
  <c r="AQ89" i="4"/>
  <c r="AQ67" i="4"/>
  <c r="AQ112" i="4"/>
  <c r="AQ162" i="4"/>
  <c r="AQ151" i="4"/>
  <c r="AQ152" i="4"/>
  <c r="AQ155" i="4"/>
  <c r="AQ91" i="4"/>
  <c r="AQ149" i="4"/>
  <c r="AQ139" i="4"/>
  <c r="AQ141" i="4"/>
  <c r="AQ98" i="4"/>
  <c r="AQ99" i="4"/>
  <c r="AQ101" i="4"/>
  <c r="AQ113" i="4"/>
  <c r="AQ62" i="4"/>
  <c r="AQ159" i="4"/>
  <c r="AQ74" i="4"/>
  <c r="AQ100" i="4"/>
  <c r="AQ103" i="4"/>
  <c r="AQ102" i="4"/>
  <c r="AQ109" i="4"/>
  <c r="AQ66" i="4"/>
  <c r="AQ95" i="4"/>
  <c r="AQ106" i="4"/>
  <c r="AQ73" i="4"/>
  <c r="AQ63" i="4"/>
  <c r="AQ65" i="4"/>
  <c r="AQ122" i="4"/>
  <c r="AQ86" i="4"/>
  <c r="AQ76" i="4"/>
  <c r="AQ68" i="4"/>
  <c r="AQ69" i="4"/>
  <c r="AQ115" i="4"/>
  <c r="AQ64" i="4"/>
  <c r="AQ88" i="4"/>
  <c r="AQ108" i="4"/>
  <c r="AP117" i="4"/>
  <c r="AP53" i="4"/>
  <c r="AQ35" i="4"/>
  <c r="AQ18" i="4"/>
  <c r="AQ34" i="4"/>
  <c r="AQ17" i="4"/>
  <c r="AQ50" i="4"/>
  <c r="AQ36" i="4"/>
  <c r="AQ19" i="4"/>
  <c r="AQ24" i="4"/>
  <c r="AQ32" i="4"/>
  <c r="AQ15" i="4"/>
  <c r="AQ16" i="4"/>
  <c r="AQ27" i="4"/>
  <c r="AQ51" i="4"/>
  <c r="AQ20" i="4"/>
  <c r="AQ26" i="4"/>
  <c r="AQ14" i="4"/>
  <c r="AQ33" i="4"/>
  <c r="AQ23" i="4"/>
  <c r="AQ38" i="4"/>
  <c r="AQ39" i="4"/>
  <c r="AQ21" i="4"/>
  <c r="AQ37" i="4"/>
  <c r="AQ31" i="4"/>
  <c r="AQ30" i="4"/>
  <c r="AQ13" i="4"/>
  <c r="AQ22" i="4"/>
  <c r="AQ25" i="4"/>
  <c r="AP41" i="4"/>
  <c r="AP227" i="4"/>
  <c r="AP206" i="4"/>
  <c r="AP185" i="4"/>
  <c r="AP164" i="4"/>
  <c r="AS2" i="4"/>
  <c r="AR3" i="4"/>
  <c r="AR364" i="4" s="1"/>
  <c r="AQ311" i="4" l="1"/>
  <c r="AQ332" i="4"/>
  <c r="AQ248" i="4"/>
  <c r="AQ143" i="4"/>
  <c r="AQ269" i="4"/>
  <c r="AQ290" i="4"/>
  <c r="AR377" i="4"/>
  <c r="AP379" i="4"/>
  <c r="AS375" i="4"/>
  <c r="AS374" i="4"/>
  <c r="AQ348" i="4"/>
  <c r="AR356" i="4"/>
  <c r="AR358" i="4" s="1"/>
  <c r="AR128" i="4"/>
  <c r="AR132" i="4"/>
  <c r="AR133" i="4"/>
  <c r="AR125" i="4"/>
  <c r="AR337" i="4"/>
  <c r="AR134" i="4"/>
  <c r="AR127" i="4"/>
  <c r="AR129" i="4"/>
  <c r="AR131" i="4"/>
  <c r="AR126" i="4"/>
  <c r="AR130" i="4"/>
  <c r="AR167" i="4"/>
  <c r="AR322" i="4"/>
  <c r="AR314" i="4"/>
  <c r="AR176" i="4"/>
  <c r="AR169" i="4"/>
  <c r="AR319" i="4"/>
  <c r="AR330" i="4"/>
  <c r="AR173" i="4"/>
  <c r="AR183" i="4"/>
  <c r="AR328" i="4"/>
  <c r="AR170" i="4"/>
  <c r="AR320" i="4"/>
  <c r="AR327" i="4"/>
  <c r="AR172" i="4"/>
  <c r="AR315" i="4"/>
  <c r="AR294" i="4"/>
  <c r="AR318" i="4"/>
  <c r="AR297" i="4"/>
  <c r="AR329" i="4"/>
  <c r="AR293" i="4"/>
  <c r="AR296" i="4"/>
  <c r="AR295" i="4"/>
  <c r="AR301" i="4"/>
  <c r="AR175" i="4"/>
  <c r="AR181" i="4"/>
  <c r="AR308" i="4"/>
  <c r="AR211" i="4"/>
  <c r="AR217" i="4"/>
  <c r="AR317" i="4"/>
  <c r="AR299" i="4"/>
  <c r="AR215" i="4"/>
  <c r="AR306" i="4"/>
  <c r="AR212" i="4"/>
  <c r="AR210" i="4"/>
  <c r="AR174" i="4"/>
  <c r="AR179" i="4"/>
  <c r="AR321" i="4"/>
  <c r="AR307" i="4"/>
  <c r="AR180" i="4"/>
  <c r="AR182" i="4"/>
  <c r="AR214" i="4"/>
  <c r="AR209" i="4"/>
  <c r="AR193" i="4"/>
  <c r="AR201" i="4"/>
  <c r="AR218" i="4"/>
  <c r="AR204" i="4"/>
  <c r="AR203" i="4"/>
  <c r="AR316" i="4"/>
  <c r="AR223" i="4"/>
  <c r="AR190" i="4"/>
  <c r="AR191" i="4"/>
  <c r="AR298" i="4"/>
  <c r="AR202" i="4"/>
  <c r="AR196" i="4"/>
  <c r="AR213" i="4"/>
  <c r="AR323" i="4"/>
  <c r="AR221" i="4"/>
  <c r="AR224" i="4"/>
  <c r="AR197" i="4"/>
  <c r="AR326" i="4"/>
  <c r="AR200" i="4"/>
  <c r="AR168" i="4"/>
  <c r="AR216" i="4"/>
  <c r="AR188" i="4"/>
  <c r="AR189" i="4"/>
  <c r="AR309" i="4"/>
  <c r="AR194" i="4"/>
  <c r="AR195" i="4"/>
  <c r="AR192" i="4"/>
  <c r="AR222" i="4"/>
  <c r="AR171" i="4"/>
  <c r="AR302" i="4"/>
  <c r="AR305" i="4"/>
  <c r="AR225" i="4"/>
  <c r="AR300" i="4"/>
  <c r="AR346" i="4"/>
  <c r="AR340" i="4"/>
  <c r="AR339" i="4"/>
  <c r="AR341" i="4"/>
  <c r="AR338" i="4"/>
  <c r="AR345" i="4"/>
  <c r="AR369" i="4"/>
  <c r="AR245" i="4"/>
  <c r="AR260" i="4"/>
  <c r="AR257" i="4"/>
  <c r="AR277" i="4"/>
  <c r="AR275" i="4"/>
  <c r="AR284" i="4"/>
  <c r="AR259" i="4"/>
  <c r="AR251" i="4"/>
  <c r="AR264" i="4"/>
  <c r="AR288" i="4"/>
  <c r="AR237" i="4"/>
  <c r="AR235" i="4"/>
  <c r="AR252" i="4"/>
  <c r="AR258" i="4"/>
  <c r="AR255" i="4"/>
  <c r="AR231" i="4"/>
  <c r="AR243" i="4"/>
  <c r="AR242" i="4"/>
  <c r="AR274" i="4"/>
  <c r="AR266" i="4"/>
  <c r="AR263" i="4"/>
  <c r="AR279" i="4"/>
  <c r="AR286" i="4"/>
  <c r="AR254" i="4"/>
  <c r="AR273" i="4"/>
  <c r="AR278" i="4"/>
  <c r="AR281" i="4"/>
  <c r="AR233" i="4"/>
  <c r="AR230" i="4"/>
  <c r="AR239" i="4"/>
  <c r="AR256" i="4"/>
  <c r="AR265" i="4"/>
  <c r="AR287" i="4"/>
  <c r="AR272" i="4"/>
  <c r="AR285" i="4"/>
  <c r="AR232" i="4"/>
  <c r="AR234" i="4"/>
  <c r="AR244" i="4"/>
  <c r="AR246" i="4"/>
  <c r="AR253" i="4"/>
  <c r="AR276" i="4"/>
  <c r="AR238" i="4"/>
  <c r="AR236" i="4"/>
  <c r="AR267" i="4"/>
  <c r="AR280" i="4"/>
  <c r="AR342" i="4"/>
  <c r="AR344" i="4"/>
  <c r="AR343" i="4"/>
  <c r="AQ53" i="4"/>
  <c r="AR148" i="4"/>
  <c r="AR150" i="4"/>
  <c r="AR83" i="4"/>
  <c r="AR95" i="4"/>
  <c r="AR147" i="4"/>
  <c r="AR154" i="4"/>
  <c r="AR140" i="4"/>
  <c r="AR73" i="4"/>
  <c r="AR75" i="4"/>
  <c r="AR79" i="4"/>
  <c r="AR158" i="4"/>
  <c r="AR138" i="4"/>
  <c r="AR159" i="4"/>
  <c r="AR162" i="4"/>
  <c r="AR152" i="4"/>
  <c r="AR98" i="4"/>
  <c r="AR109" i="4"/>
  <c r="AR63" i="4"/>
  <c r="AR85" i="4"/>
  <c r="AR94" i="4"/>
  <c r="AR88" i="4"/>
  <c r="AR90" i="4"/>
  <c r="AR91" i="4"/>
  <c r="AR93" i="4"/>
  <c r="AR153" i="4"/>
  <c r="AR146" i="4"/>
  <c r="AR89" i="4"/>
  <c r="AR92" i="4"/>
  <c r="AR67" i="4"/>
  <c r="AR161" i="4"/>
  <c r="AR151" i="4"/>
  <c r="AR155" i="4"/>
  <c r="AR137" i="4"/>
  <c r="AR72" i="4"/>
  <c r="AR78" i="4"/>
  <c r="AR87" i="4"/>
  <c r="AR160" i="4"/>
  <c r="AR86" i="4"/>
  <c r="AR141" i="4"/>
  <c r="AR99" i="4"/>
  <c r="AR101" i="4"/>
  <c r="AR113" i="4"/>
  <c r="AR62" i="4"/>
  <c r="AR149" i="4"/>
  <c r="AR102" i="4"/>
  <c r="AR66" i="4"/>
  <c r="AR103" i="4"/>
  <c r="AR74" i="4"/>
  <c r="AR114" i="4"/>
  <c r="AR65" i="4"/>
  <c r="AR139" i="4"/>
  <c r="AR77" i="4"/>
  <c r="AR110" i="4"/>
  <c r="AR122" i="4"/>
  <c r="AR84" i="4"/>
  <c r="AR107" i="4"/>
  <c r="AR100" i="4"/>
  <c r="AR106" i="4"/>
  <c r="AR76" i="4"/>
  <c r="AR111" i="4"/>
  <c r="AR68" i="4"/>
  <c r="AR69" i="4"/>
  <c r="AR108" i="4"/>
  <c r="AR112" i="4"/>
  <c r="AR115" i="4"/>
  <c r="AR64" i="4"/>
  <c r="AQ117" i="4"/>
  <c r="AR36" i="4"/>
  <c r="AR19" i="4"/>
  <c r="AR35" i="4"/>
  <c r="AR18" i="4"/>
  <c r="AR26" i="4"/>
  <c r="AR24" i="4"/>
  <c r="AR50" i="4"/>
  <c r="AR34" i="4"/>
  <c r="AR17" i="4"/>
  <c r="AR22" i="4"/>
  <c r="AR16" i="4"/>
  <c r="AR27" i="4"/>
  <c r="AR33" i="4"/>
  <c r="AR21" i="4"/>
  <c r="AR51" i="4"/>
  <c r="AR32" i="4"/>
  <c r="AR31" i="4"/>
  <c r="AR37" i="4"/>
  <c r="AR14" i="4"/>
  <c r="AR23" i="4"/>
  <c r="AR38" i="4"/>
  <c r="AR15" i="4"/>
  <c r="AR39" i="4"/>
  <c r="AR20" i="4"/>
  <c r="AR25" i="4"/>
  <c r="AR30" i="4"/>
  <c r="AR13" i="4"/>
  <c r="AQ41" i="4"/>
  <c r="AQ227" i="4"/>
  <c r="AQ206" i="4"/>
  <c r="AQ185" i="4"/>
  <c r="AQ164" i="4"/>
  <c r="AS3" i="4"/>
  <c r="AS364" i="4" s="1"/>
  <c r="AR290" i="4" l="1"/>
  <c r="AR311" i="4"/>
  <c r="AR269" i="4"/>
  <c r="AR143" i="4"/>
  <c r="AR248" i="4"/>
  <c r="AR332" i="4"/>
  <c r="AS377" i="4"/>
  <c r="AQ379" i="4"/>
  <c r="AR348" i="4"/>
  <c r="AS126" i="4"/>
  <c r="AS130" i="4"/>
  <c r="AS127" i="4"/>
  <c r="AS133" i="4"/>
  <c r="AS337" i="4"/>
  <c r="AS134" i="4"/>
  <c r="AS131" i="4"/>
  <c r="AS356" i="4"/>
  <c r="AS358" i="4" s="1"/>
  <c r="AS125" i="4"/>
  <c r="AS132" i="4"/>
  <c r="AS128" i="4"/>
  <c r="AS129" i="4"/>
  <c r="AS323" i="4"/>
  <c r="H323" i="4" s="1"/>
  <c r="AS317" i="4"/>
  <c r="H317" i="4" s="1"/>
  <c r="AS167" i="4"/>
  <c r="H167" i="4" s="1"/>
  <c r="AS315" i="4"/>
  <c r="H315" i="4" s="1"/>
  <c r="AS175" i="4"/>
  <c r="H175" i="4" s="1"/>
  <c r="AS172" i="4"/>
  <c r="H172" i="4" s="1"/>
  <c r="AS182" i="4"/>
  <c r="H182" i="4" s="1"/>
  <c r="AS171" i="4"/>
  <c r="H171" i="4" s="1"/>
  <c r="AS316" i="4"/>
  <c r="H316" i="4" s="1"/>
  <c r="AS305" i="4"/>
  <c r="H305" i="4" s="1"/>
  <c r="AS179" i="4"/>
  <c r="H179" i="4" s="1"/>
  <c r="AS174" i="4"/>
  <c r="H174" i="4" s="1"/>
  <c r="AS183" i="4"/>
  <c r="H183" i="4" s="1"/>
  <c r="AS176" i="4"/>
  <c r="H176" i="4" s="1"/>
  <c r="AS296" i="4"/>
  <c r="H296" i="4" s="1"/>
  <c r="AS329" i="4"/>
  <c r="H329" i="4" s="1"/>
  <c r="AS306" i="4"/>
  <c r="H306" i="4" s="1"/>
  <c r="AS302" i="4"/>
  <c r="H302" i="4" s="1"/>
  <c r="AS295" i="4"/>
  <c r="H295" i="4" s="1"/>
  <c r="AS300" i="4"/>
  <c r="H300" i="4" s="1"/>
  <c r="AS202" i="4"/>
  <c r="H202" i="4" s="1"/>
  <c r="AS322" i="4"/>
  <c r="H322" i="4" s="1"/>
  <c r="AS209" i="4"/>
  <c r="H209" i="4" s="1"/>
  <c r="AS168" i="4"/>
  <c r="H168" i="4" s="1"/>
  <c r="AS299" i="4"/>
  <c r="H299" i="4" s="1"/>
  <c r="AS293" i="4"/>
  <c r="AS218" i="4"/>
  <c r="H218" i="4" s="1"/>
  <c r="AS319" i="4"/>
  <c r="H319" i="4" s="1"/>
  <c r="AS327" i="4"/>
  <c r="H327" i="4" s="1"/>
  <c r="AS308" i="4"/>
  <c r="H308" i="4" s="1"/>
  <c r="AS215" i="4"/>
  <c r="H215" i="4" s="1"/>
  <c r="AS320" i="4"/>
  <c r="H320" i="4" s="1"/>
  <c r="AS330" i="4"/>
  <c r="H330" i="4" s="1"/>
  <c r="AS301" i="4"/>
  <c r="H301" i="4" s="1"/>
  <c r="AS211" i="4"/>
  <c r="H211" i="4" s="1"/>
  <c r="AS216" i="4"/>
  <c r="H216" i="4" s="1"/>
  <c r="AS298" i="4"/>
  <c r="H298" i="4" s="1"/>
  <c r="AS190" i="4"/>
  <c r="H190" i="4" s="1"/>
  <c r="AS181" i="4"/>
  <c r="H181" i="4" s="1"/>
  <c r="AS225" i="4"/>
  <c r="H225" i="4" s="1"/>
  <c r="AS212" i="4"/>
  <c r="H212" i="4" s="1"/>
  <c r="AS204" i="4"/>
  <c r="H204" i="4" s="1"/>
  <c r="AS192" i="4"/>
  <c r="H192" i="4" s="1"/>
  <c r="AS314" i="4"/>
  <c r="AS309" i="4"/>
  <c r="H309" i="4" s="1"/>
  <c r="AS201" i="4"/>
  <c r="H201" i="4" s="1"/>
  <c r="AS194" i="4"/>
  <c r="H194" i="4" s="1"/>
  <c r="AS180" i="4"/>
  <c r="H180" i="4" s="1"/>
  <c r="AS294" i="4"/>
  <c r="H294" i="4" s="1"/>
  <c r="AS328" i="4"/>
  <c r="H328" i="4" s="1"/>
  <c r="AS318" i="4"/>
  <c r="H318" i="4" s="1"/>
  <c r="AS213" i="4"/>
  <c r="H213" i="4" s="1"/>
  <c r="AS188" i="4"/>
  <c r="H188" i="4" s="1"/>
  <c r="AS196" i="4"/>
  <c r="H196" i="4" s="1"/>
  <c r="AS217" i="4"/>
  <c r="H217" i="4" s="1"/>
  <c r="AS191" i="4"/>
  <c r="H191" i="4" s="1"/>
  <c r="AS200" i="4"/>
  <c r="H200" i="4" s="1"/>
  <c r="AS195" i="4"/>
  <c r="H195" i="4" s="1"/>
  <c r="AS307" i="4"/>
  <c r="H307" i="4" s="1"/>
  <c r="AS197" i="4"/>
  <c r="H197" i="4" s="1"/>
  <c r="AS214" i="4"/>
  <c r="H214" i="4" s="1"/>
  <c r="AS193" i="4"/>
  <c r="H193" i="4" s="1"/>
  <c r="AS321" i="4"/>
  <c r="H321" i="4" s="1"/>
  <c r="AS210" i="4"/>
  <c r="H210" i="4" s="1"/>
  <c r="AS224" i="4"/>
  <c r="H224" i="4" s="1"/>
  <c r="AS223" i="4"/>
  <c r="H223" i="4" s="1"/>
  <c r="AS203" i="4"/>
  <c r="H203" i="4" s="1"/>
  <c r="AS297" i="4"/>
  <c r="H297" i="4" s="1"/>
  <c r="AS169" i="4"/>
  <c r="H169" i="4" s="1"/>
  <c r="AS173" i="4"/>
  <c r="H173" i="4" s="1"/>
  <c r="AS326" i="4"/>
  <c r="H326" i="4" s="1"/>
  <c r="AS170" i="4"/>
  <c r="H170" i="4" s="1"/>
  <c r="AS221" i="4"/>
  <c r="H221" i="4" s="1"/>
  <c r="AS189" i="4"/>
  <c r="H189" i="4" s="1"/>
  <c r="AS222" i="4"/>
  <c r="H222" i="4" s="1"/>
  <c r="AS345" i="4"/>
  <c r="AS338" i="4"/>
  <c r="AS346" i="4"/>
  <c r="AS341" i="4"/>
  <c r="AS340" i="4"/>
  <c r="AS339" i="4"/>
  <c r="AS239" i="4"/>
  <c r="H239" i="4" s="1"/>
  <c r="AS235" i="4"/>
  <c r="H235" i="4" s="1"/>
  <c r="AS255" i="4"/>
  <c r="H255" i="4" s="1"/>
  <c r="AS253" i="4"/>
  <c r="H253" i="4" s="1"/>
  <c r="AS287" i="4"/>
  <c r="H287" i="4" s="1"/>
  <c r="AS233" i="4"/>
  <c r="H233" i="4" s="1"/>
  <c r="AS230" i="4"/>
  <c r="AS265" i="4"/>
  <c r="H265" i="4" s="1"/>
  <c r="AS254" i="4"/>
  <c r="H254" i="4" s="1"/>
  <c r="AS288" i="4"/>
  <c r="H288" i="4" s="1"/>
  <c r="AS245" i="4"/>
  <c r="H245" i="4" s="1"/>
  <c r="AS231" i="4"/>
  <c r="H231" i="4" s="1"/>
  <c r="AS264" i="4"/>
  <c r="H264" i="4" s="1"/>
  <c r="AS278" i="4"/>
  <c r="H278" i="4" s="1"/>
  <c r="AS277" i="4"/>
  <c r="H277" i="4" s="1"/>
  <c r="AS237" i="4"/>
  <c r="H237" i="4" s="1"/>
  <c r="AS258" i="4"/>
  <c r="H258" i="4" s="1"/>
  <c r="AS274" i="4"/>
  <c r="H274" i="4" s="1"/>
  <c r="AS252" i="4"/>
  <c r="H252" i="4" s="1"/>
  <c r="AS273" i="4"/>
  <c r="H273" i="4" s="1"/>
  <c r="AS232" i="4"/>
  <c r="H232" i="4" s="1"/>
  <c r="AS286" i="4"/>
  <c r="H286" i="4" s="1"/>
  <c r="AS275" i="4"/>
  <c r="H275" i="4" s="1"/>
  <c r="AS244" i="4"/>
  <c r="H244" i="4" s="1"/>
  <c r="AS280" i="4"/>
  <c r="H280" i="4" s="1"/>
  <c r="AS266" i="4"/>
  <c r="H266" i="4" s="1"/>
  <c r="AS263" i="4"/>
  <c r="H263" i="4" s="1"/>
  <c r="AS234" i="4"/>
  <c r="H234" i="4" s="1"/>
  <c r="AS259" i="4"/>
  <c r="H259" i="4" s="1"/>
  <c r="AS257" i="4"/>
  <c r="H257" i="4" s="1"/>
  <c r="AS256" i="4"/>
  <c r="H256" i="4" s="1"/>
  <c r="AS246" i="4"/>
  <c r="H246" i="4" s="1"/>
  <c r="AS236" i="4"/>
  <c r="H236" i="4" s="1"/>
  <c r="AS272" i="4"/>
  <c r="AS276" i="4"/>
  <c r="H276" i="4" s="1"/>
  <c r="AS243" i="4"/>
  <c r="H243" i="4" s="1"/>
  <c r="AS251" i="4"/>
  <c r="AS267" i="4"/>
  <c r="H267" i="4" s="1"/>
  <c r="AS238" i="4"/>
  <c r="H238" i="4" s="1"/>
  <c r="AS284" i="4"/>
  <c r="H284" i="4" s="1"/>
  <c r="AS279" i="4"/>
  <c r="H279" i="4" s="1"/>
  <c r="AS242" i="4"/>
  <c r="H242" i="4" s="1"/>
  <c r="AS260" i="4"/>
  <c r="H260" i="4" s="1"/>
  <c r="AS285" i="4"/>
  <c r="H285" i="4" s="1"/>
  <c r="AS281" i="4"/>
  <c r="H281" i="4" s="1"/>
  <c r="AS342" i="4"/>
  <c r="AS344" i="4"/>
  <c r="AS343" i="4"/>
  <c r="AR117" i="4"/>
  <c r="AS147" i="4"/>
  <c r="AS148" i="4"/>
  <c r="AS149" i="4"/>
  <c r="AS150" i="4"/>
  <c r="AS160" i="4"/>
  <c r="AS139" i="4"/>
  <c r="AS152" i="4"/>
  <c r="AS154" i="4"/>
  <c r="AS155" i="4"/>
  <c r="AS138" i="4"/>
  <c r="AS84" i="4"/>
  <c r="AS98" i="4"/>
  <c r="AS140" i="4"/>
  <c r="AS158" i="4"/>
  <c r="AS137" i="4"/>
  <c r="H137" i="4" s="1"/>
  <c r="AS146" i="4"/>
  <c r="AS72" i="4"/>
  <c r="AS76" i="4"/>
  <c r="AS87" i="4"/>
  <c r="AS100" i="4"/>
  <c r="AS159" i="4"/>
  <c r="AS162" i="4"/>
  <c r="AS109" i="4"/>
  <c r="AS63" i="4"/>
  <c r="AS79" i="4"/>
  <c r="AS111" i="4"/>
  <c r="AS115" i="4"/>
  <c r="AS64" i="4"/>
  <c r="AS88" i="4"/>
  <c r="AS90" i="4"/>
  <c r="AS153" i="4"/>
  <c r="AS89" i="4"/>
  <c r="AS92" i="4"/>
  <c r="AS95" i="4"/>
  <c r="AS112" i="4"/>
  <c r="AS65" i="4"/>
  <c r="AS69" i="4"/>
  <c r="AS86" i="4"/>
  <c r="AS94" i="4"/>
  <c r="AS108" i="4"/>
  <c r="AS67" i="4"/>
  <c r="AS113" i="4"/>
  <c r="AS151" i="4"/>
  <c r="AS102" i="4"/>
  <c r="AS66" i="4"/>
  <c r="AS77" i="4"/>
  <c r="AS78" i="4"/>
  <c r="AS110" i="4"/>
  <c r="AS74" i="4"/>
  <c r="AS75" i="4"/>
  <c r="AS103" i="4"/>
  <c r="AS91" i="4"/>
  <c r="AS122" i="4"/>
  <c r="AS73" i="4"/>
  <c r="AS107" i="4"/>
  <c r="AS83" i="4"/>
  <c r="AS114" i="4"/>
  <c r="AS85" i="4"/>
  <c r="AS99" i="4"/>
  <c r="AS106" i="4"/>
  <c r="AS161" i="4"/>
  <c r="AS141" i="4"/>
  <c r="AS62" i="4"/>
  <c r="AS101" i="4"/>
  <c r="AS68" i="4"/>
  <c r="AS93" i="4"/>
  <c r="AR53" i="4"/>
  <c r="AS51" i="4"/>
  <c r="AS37" i="4"/>
  <c r="AS20" i="4"/>
  <c r="AS36" i="4"/>
  <c r="AS19" i="4"/>
  <c r="AS38" i="4"/>
  <c r="AS21" i="4"/>
  <c r="AS17" i="4"/>
  <c r="AS26" i="4"/>
  <c r="AS50" i="4"/>
  <c r="AS34" i="4"/>
  <c r="AS35" i="4"/>
  <c r="AS23" i="4"/>
  <c r="AS22" i="4"/>
  <c r="AS39" i="4"/>
  <c r="AS33" i="4"/>
  <c r="AS30" i="4"/>
  <c r="AS13" i="4"/>
  <c r="AS31" i="4"/>
  <c r="AS14" i="4"/>
  <c r="AS18" i="4"/>
  <c r="AS15" i="4"/>
  <c r="AS24" i="4"/>
  <c r="AS16" i="4"/>
  <c r="AS32" i="4"/>
  <c r="AS25" i="4"/>
  <c r="AS27" i="4"/>
  <c r="AR41" i="4"/>
  <c r="AR227" i="4"/>
  <c r="AR206" i="4"/>
  <c r="AR185" i="4"/>
  <c r="AR164" i="4"/>
  <c r="H314" i="4" l="1"/>
  <c r="H332" i="4" s="1"/>
  <c r="AS332" i="4"/>
  <c r="H293" i="4"/>
  <c r="H311" i="4" s="1"/>
  <c r="AS311" i="4"/>
  <c r="H272" i="4"/>
  <c r="AS290" i="4"/>
  <c r="H290" i="4"/>
  <c r="H251" i="4"/>
  <c r="H269" i="4" s="1"/>
  <c r="AS269" i="4"/>
  <c r="H230" i="4"/>
  <c r="H248" i="4" s="1"/>
  <c r="AS248" i="4"/>
  <c r="AS143" i="4"/>
  <c r="AR379" i="4"/>
  <c r="AS348" i="4"/>
  <c r="AS369" i="4"/>
  <c r="H364" i="4"/>
  <c r="H369" i="4" s="1"/>
  <c r="E25" i="25" s="1"/>
  <c r="AS117" i="4"/>
  <c r="AS53" i="4"/>
  <c r="AS41" i="4"/>
  <c r="AS227" i="4"/>
  <c r="AS206" i="4"/>
  <c r="AS185" i="4"/>
  <c r="AS164" i="4"/>
  <c r="AS379" i="4" l="1"/>
  <c r="H59" i="29" l="1"/>
  <c r="H58" i="29"/>
  <c r="H56" i="29"/>
  <c r="H57" i="29"/>
  <c r="H55" i="29"/>
  <c r="H37" i="29"/>
  <c r="H35" i="29"/>
  <c r="H36" i="29"/>
  <c r="H33" i="29"/>
  <c r="H34" i="29"/>
  <c r="H81" i="29" l="1"/>
  <c r="H83" i="29"/>
  <c r="H85" i="29"/>
  <c r="H80" i="29"/>
  <c r="H82" i="29"/>
  <c r="H84" i="29"/>
  <c r="H32" i="29"/>
  <c r="H41" i="29" s="1"/>
  <c r="H68" i="29"/>
  <c r="H67" i="29"/>
  <c r="H91" i="29"/>
  <c r="H54" i="29"/>
  <c r="H61" i="29" s="1"/>
  <c r="F22" i="25" s="1"/>
  <c r="H71" i="29"/>
  <c r="H90" i="29"/>
  <c r="H95" i="29" l="1"/>
  <c r="H66" i="29"/>
  <c r="H73" i="29" l="1"/>
  <c r="F23" i="25" s="1"/>
  <c r="F24" i="25"/>
  <c r="H43" i="29"/>
  <c r="F21" i="25" s="1"/>
  <c r="F26" i="25" s="1"/>
  <c r="H15" i="27" l="1"/>
  <c r="H18" i="27"/>
  <c r="H69" i="4" l="1"/>
  <c r="H88" i="4" l="1"/>
  <c r="H141" i="4"/>
  <c r="H129" i="4"/>
  <c r="H128" i="4"/>
  <c r="H127" i="4"/>
  <c r="H140" i="4"/>
  <c r="H133" i="4"/>
  <c r="H132" i="4"/>
  <c r="H134" i="4"/>
  <c r="H147" i="4"/>
  <c r="H152" i="4"/>
  <c r="H130" i="4"/>
  <c r="H148" i="4"/>
  <c r="H150" i="4"/>
  <c r="H151" i="4"/>
  <c r="H139" i="4"/>
  <c r="H149" i="4"/>
  <c r="H154" i="4"/>
  <c r="H162" i="4"/>
  <c r="H159" i="4"/>
  <c r="H158" i="4"/>
  <c r="H155" i="4"/>
  <c r="H126" i="4"/>
  <c r="H138" i="4"/>
  <c r="H161" i="4"/>
  <c r="H160" i="4"/>
  <c r="H153" i="4"/>
  <c r="H77" i="4"/>
  <c r="H79" i="4"/>
  <c r="H72" i="4"/>
  <c r="H75" i="4"/>
  <c r="H76" i="4"/>
  <c r="H73" i="4"/>
  <c r="H74" i="4"/>
  <c r="H78" i="4"/>
  <c r="H27" i="4"/>
  <c r="H20" i="4"/>
  <c r="H18" i="4"/>
  <c r="H17" i="4"/>
  <c r="H16" i="4"/>
  <c r="H14" i="4"/>
  <c r="H22" i="4"/>
  <c r="H21" i="4"/>
  <c r="H15" i="4"/>
  <c r="H37" i="4"/>
  <c r="H19" i="4"/>
  <c r="H24" i="4"/>
  <c r="H25" i="4"/>
  <c r="H39" i="4"/>
  <c r="H26" i="4"/>
  <c r="H38" i="4"/>
  <c r="H23" i="4"/>
  <c r="H30" i="4"/>
  <c r="H32" i="4"/>
  <c r="H34" i="4"/>
  <c r="H33" i="4"/>
  <c r="H36" i="4"/>
  <c r="H35" i="4"/>
  <c r="H31" i="4"/>
  <c r="H109" i="4"/>
  <c r="H107" i="4"/>
  <c r="H110" i="4"/>
  <c r="H112" i="4"/>
  <c r="H115" i="4"/>
  <c r="H114" i="4"/>
  <c r="H111" i="4"/>
  <c r="H108" i="4"/>
  <c r="H98" i="4"/>
  <c r="H113" i="4"/>
  <c r="H102" i="4"/>
  <c r="H103" i="4"/>
  <c r="H101" i="4"/>
  <c r="H100" i="4"/>
  <c r="H85" i="4"/>
  <c r="H83" i="4"/>
  <c r="H89" i="4"/>
  <c r="H91" i="4"/>
  <c r="H90" i="4"/>
  <c r="H93" i="4"/>
  <c r="H87" i="4"/>
  <c r="H84" i="4"/>
  <c r="H92" i="4"/>
  <c r="H99" i="4"/>
  <c r="H95" i="4"/>
  <c r="H94" i="4"/>
  <c r="H86" i="4"/>
  <c r="H64" i="4"/>
  <c r="H67" i="4"/>
  <c r="H66" i="4"/>
  <c r="H65" i="4"/>
  <c r="H68" i="4"/>
  <c r="H63" i="4"/>
  <c r="H51" i="4"/>
  <c r="H122" i="4" l="1"/>
  <c r="H62" i="4"/>
  <c r="H356" i="4"/>
  <c r="H358" i="4" s="1"/>
  <c r="C346" i="4"/>
  <c r="C345" i="4"/>
  <c r="R345" i="4" s="1"/>
  <c r="R348" i="4" s="1"/>
  <c r="R379" i="4" s="1"/>
  <c r="C344" i="4"/>
  <c r="Q344" i="4" s="1"/>
  <c r="Q348" i="4" s="1"/>
  <c r="Q379" i="4" s="1"/>
  <c r="C343" i="4"/>
  <c r="P343" i="4" s="1"/>
  <c r="P348" i="4" s="1"/>
  <c r="P379" i="4" s="1"/>
  <c r="H227" i="4"/>
  <c r="C341" i="4" s="1"/>
  <c r="N341" i="4" s="1"/>
  <c r="N348" i="4" s="1"/>
  <c r="N379" i="4" s="1"/>
  <c r="H206" i="4"/>
  <c r="C340" i="4" s="1"/>
  <c r="M340" i="4" s="1"/>
  <c r="M348" i="4" s="1"/>
  <c r="M379" i="4" s="1"/>
  <c r="H146" i="4"/>
  <c r="H125" i="4"/>
  <c r="H131" i="4"/>
  <c r="H106" i="4"/>
  <c r="H50" i="4"/>
  <c r="H13" i="4"/>
  <c r="H41" i="4" s="1"/>
  <c r="E20" i="25" s="1"/>
  <c r="H143" i="4" l="1"/>
  <c r="H164" i="4"/>
  <c r="C338" i="4" s="1"/>
  <c r="H117" i="4"/>
  <c r="H346" i="4"/>
  <c r="S346" i="4"/>
  <c r="S348" i="4" s="1"/>
  <c r="S379" i="4" s="1"/>
  <c r="H53" i="4"/>
  <c r="E21" i="25" s="1"/>
  <c r="C8" i="19"/>
  <c r="D8" i="19" s="1"/>
  <c r="E24" i="25"/>
  <c r="H345" i="4"/>
  <c r="H343" i="4"/>
  <c r="H344" i="4"/>
  <c r="H185" i="4"/>
  <c r="C339" i="4" s="1"/>
  <c r="C342" i="4"/>
  <c r="H341" i="4"/>
  <c r="H340" i="4"/>
  <c r="E22" i="25" l="1"/>
  <c r="C10" i="19" s="1"/>
  <c r="D10" i="19" s="1"/>
  <c r="K338" i="4"/>
  <c r="K348" i="4" s="1"/>
  <c r="H338" i="4"/>
  <c r="H342" i="4"/>
  <c r="O342" i="4"/>
  <c r="O348" i="4" s="1"/>
  <c r="H339" i="4"/>
  <c r="L339" i="4"/>
  <c r="L348" i="4" s="1"/>
  <c r="L379" i="4" s="1"/>
  <c r="C12" i="19"/>
  <c r="D12" i="19" s="1"/>
  <c r="C337" i="4"/>
  <c r="K379" i="4" l="1"/>
  <c r="H337" i="4"/>
  <c r="H348" i="4" s="1"/>
  <c r="J337" i="4"/>
  <c r="J348" i="4" s="1"/>
  <c r="C13" i="19"/>
  <c r="D13" i="19" s="1"/>
  <c r="E23" i="25" l="1"/>
  <c r="C11" i="19" l="1"/>
  <c r="D11" i="19" s="1"/>
  <c r="E28" i="25" l="1"/>
  <c r="P20" i="27" l="1"/>
  <c r="V20" i="27"/>
  <c r="AG20" i="27"/>
  <c r="U20" i="27"/>
  <c r="R20" i="27"/>
  <c r="AB20" i="27"/>
  <c r="AA20" i="27"/>
  <c r="M20" i="27"/>
  <c r="K20" i="27"/>
  <c r="Q20" i="27"/>
  <c r="W20" i="27"/>
  <c r="H17" i="27" l="1"/>
  <c r="N20" i="27"/>
  <c r="S20" i="27"/>
  <c r="T20" i="27"/>
  <c r="X20" i="27"/>
  <c r="Y20" i="27"/>
  <c r="Z20" i="27"/>
  <c r="AC20" i="27"/>
  <c r="AD20" i="27"/>
  <c r="AE20" i="27"/>
  <c r="AF20" i="27"/>
  <c r="AH20" i="27"/>
  <c r="AI20" i="27"/>
  <c r="AJ20" i="27"/>
  <c r="AK20" i="27"/>
  <c r="AL20" i="27"/>
  <c r="AM20" i="27"/>
  <c r="AN20" i="27"/>
  <c r="C99" i="29" l="1"/>
  <c r="J99" i="29" s="1"/>
  <c r="C100" i="29"/>
  <c r="O100" i="29" s="1"/>
  <c r="J102" i="29" l="1"/>
  <c r="J104" i="29" s="1"/>
  <c r="H99" i="29"/>
  <c r="O102" i="29"/>
  <c r="O104" i="29" s="1"/>
  <c r="H100" i="29"/>
  <c r="H102" i="29" l="1"/>
  <c r="H104" i="29" s="1"/>
  <c r="F28" i="25" s="1"/>
  <c r="C374" i="4" l="1"/>
  <c r="J374" i="4" s="1"/>
  <c r="H374" i="4" l="1"/>
  <c r="J377" i="4"/>
  <c r="J379" i="4" s="1"/>
  <c r="C375" i="4" l="1"/>
  <c r="O375" i="4" s="1"/>
  <c r="O20" i="27"/>
  <c r="H375" i="4" l="1"/>
  <c r="H377" i="4" s="1"/>
  <c r="H379" i="4" s="1"/>
  <c r="O377" i="4"/>
  <c r="O379" i="4" s="1"/>
  <c r="C9" i="19" l="1"/>
  <c r="D9" i="19" s="1"/>
  <c r="J14" i="27"/>
  <c r="D27" i="25"/>
  <c r="C15" i="19" s="1"/>
  <c r="D15" i="19" s="1"/>
  <c r="H14" i="27" l="1"/>
  <c r="H20" i="27" s="1"/>
  <c r="D28" i="25" s="1"/>
  <c r="C16" i="19" s="1"/>
  <c r="D16" i="19" s="1"/>
  <c r="J20" i="27"/>
  <c r="D26" i="25"/>
  <c r="C14" i="19" s="1"/>
  <c r="D14" i="19" s="1"/>
</calcChain>
</file>

<file path=xl/sharedStrings.xml><?xml version="1.0" encoding="utf-8"?>
<sst xmlns="http://schemas.openxmlformats.org/spreadsheetml/2006/main" count="1741" uniqueCount="841">
  <si>
    <t xml:space="preserve"> </t>
  </si>
  <si>
    <t>Urban Tree Cost Modelling Tool v1.0</t>
  </si>
  <si>
    <t xml:space="preserve">Model Prepared by: Finance Earth. </t>
  </si>
  <si>
    <t>This work is licensed under CC BY 4.0</t>
  </si>
  <si>
    <t>This model should be used in conjunction with the User Guide, included within the "Inputs" tab of this model. Please read the User Guide in full prior to starting to use the model.</t>
  </si>
  <si>
    <t>Model Preparation Date:</t>
  </si>
  <si>
    <t>June 2025</t>
  </si>
  <si>
    <t>Project Name</t>
  </si>
  <si>
    <t>Project Location</t>
  </si>
  <si>
    <t>Project Description</t>
  </si>
  <si>
    <t>Strictly Private &amp; Confidential</t>
  </si>
  <si>
    <t>Legal Disclaimer</t>
  </si>
  <si>
    <t>Please read and accept before using this Model</t>
  </si>
  <si>
    <t>For the avoidance of doubt, when accessing the Model, users are solely responsible for performing their own due diligence to verify for themselves the adequacy, accuracy and completeness of the data. Finance Earth is in no way responsible for the integrity of the electronic file.</t>
  </si>
  <si>
    <t>The Model has been designed so that an experienced user can modify some of the assumptions to consider alternative outcomes. Finance Earth do not assume any responsibility for any modification, interpretation or decisions made by any user.</t>
  </si>
  <si>
    <t>Finance Earth does not accept liability for any loss including without limitation loss of profits or goodwill, however arising, brought about as a result of a person acting, or refraining from acting, on information contained within the Model.</t>
  </si>
  <si>
    <t>All rights including-intellectual property rights in the Model shall remain with Finance Earth. You agree that you will not rent, lease, transfer, or otherwise transfer or exploit, or seek to transfer or exploit any rights in the Model or accompanying information memorandum, or any part of the Model and/or the information memorandum (whether altered by you or otherwise), to any third parties.</t>
  </si>
  <si>
    <t>Finance Earth retains the right to modify these terms and conditions for use of the Model and accompanying information memorandum without notice. Finance Earth retains the right to change/amend the Model and the accompanying information memorandum without notice.</t>
  </si>
  <si>
    <t>The information in the Model and accompanying information memorandum is believed to be accurate, no representation or warranty of any kind is given with regard to its veracity, accuracy or completeness. Finance Earth shall not be liable for damages or losses resulting from downloading the Model or any accompanying information memorandum. Whilst Finance Earth has conducted extensive stress testing on this Cost Model, errors may remain. Should you identify a potential error in the model, please get in touch with your contact at Finance Earth, or email hello@finance.earth.</t>
  </si>
  <si>
    <r>
      <rPr>
        <b/>
        <u/>
        <sz val="9"/>
        <color theme="1"/>
        <rFont val="Calibri"/>
        <family val="2"/>
        <scheme val="minor"/>
      </rPr>
      <t>General User Instructions:</t>
    </r>
    <r>
      <rPr>
        <sz val="9"/>
        <color theme="1"/>
        <rFont val="Calibri"/>
        <family val="2"/>
        <scheme val="minor"/>
      </rPr>
      <t xml:space="preserve">
This Urban Tree Cost Modelling Tool User Guide document has been designed to assist the model user in estimating lifetime costs for urban forest projects. With thanks to Anne Jaluzot for her support in providing guidance on developing the model and for her work on collecting indicative costs.
Cost data: The data of this model in the "Cost Data" sheet derives from data and indicative costs collected by an Urban Forest Consultant who ran a consultation process with local authorities and contractors. However, users are encouraged to cross check these estimates with use their own data sources. 
Opening the model: When opening the model, users may be prompted to indicate whether they would like to enable macros/content. We highly recommend enabling macros/content in respect of this model, as this will allow the user to input costs into the relevant cells, as well as for any unused cost rows to be hidden using the grouping function (“+” and “-“ symbols at the left side of the sheet). If the 1 in the top left hand corner of the sheet (in the side bar) is clicked, all the categories will close and it will be easier to run through section by section.  </t>
    </r>
  </si>
  <si>
    <t xml:space="preserve">Project Summary </t>
  </si>
  <si>
    <t>Project size</t>
  </si>
  <si>
    <t>COSTS</t>
  </si>
  <si>
    <t>Total</t>
  </si>
  <si>
    <t>Per Tree (Lifetime)</t>
  </si>
  <si>
    <t>Inputs - List of trees</t>
  </si>
  <si>
    <t xml:space="preserve">Use bulk number of trees or detailed list of trees? </t>
  </si>
  <si>
    <t>Bulk number of trees</t>
  </si>
  <si>
    <t>Must be completed for model to function</t>
  </si>
  <si>
    <t>Landscape</t>
  </si>
  <si>
    <t>Soft Landscape</t>
  </si>
  <si>
    <t>Detailed list of trees</t>
  </si>
  <si>
    <t>Tree Number</t>
  </si>
  <si>
    <t>Include?</t>
  </si>
  <si>
    <t>Tree Species</t>
  </si>
  <si>
    <t>Tree Size</t>
  </si>
  <si>
    <t>Hard or Soft Landscape</t>
  </si>
  <si>
    <t>To expand,</t>
  </si>
  <si>
    <t>click '+'</t>
  </si>
  <si>
    <t>Total trees (detailed list)</t>
  </si>
  <si>
    <t>Total number of trees</t>
  </si>
  <si>
    <t>Inputs Sheet - General and Overview</t>
  </si>
  <si>
    <t>General Project Charateristics</t>
  </si>
  <si>
    <t>Input</t>
  </si>
  <si>
    <t>Note</t>
  </si>
  <si>
    <t>Project Start year</t>
  </si>
  <si>
    <t>Project End year</t>
  </si>
  <si>
    <t>30 years assumed</t>
  </si>
  <si>
    <t xml:space="preserve">Add Inflation to Costs? </t>
  </si>
  <si>
    <t>Yes</t>
  </si>
  <si>
    <t>Inflation</t>
  </si>
  <si>
    <t>Discount Rate</t>
  </si>
  <si>
    <t xml:space="preserve">Bulk tree purchase offer </t>
  </si>
  <si>
    <t>Failure rate contingency</t>
  </si>
  <si>
    <t xml:space="preserve">This is an assumption 10-30% trees failing depending on when in their life they are unsuccessful. The earlier in their life, the more of the money is unspent. </t>
  </si>
  <si>
    <t xml:space="preserve">Which costing option would you like to choose? </t>
  </si>
  <si>
    <t>Option 1</t>
  </si>
  <si>
    <t>Number of trees</t>
  </si>
  <si>
    <t>Number of trees included in this project</t>
  </si>
  <si>
    <t>From 'Tree Selection List' Sheet</t>
  </si>
  <si>
    <t>Option 2</t>
  </si>
  <si>
    <t>Option 3</t>
  </si>
  <si>
    <t>Year Start</t>
  </si>
  <si>
    <t>Year End</t>
  </si>
  <si>
    <t>Cost Categories</t>
  </si>
  <si>
    <t>Manual Input</t>
  </si>
  <si>
    <t>Auto calculations</t>
  </si>
  <si>
    <t>Detailed Manual Input</t>
  </si>
  <si>
    <t>Automatic Inputs</t>
  </si>
  <si>
    <t>Instructions</t>
  </si>
  <si>
    <r>
      <t xml:space="preserve">Enter inputs </t>
    </r>
    <r>
      <rPr>
        <i/>
        <u/>
        <sz val="11"/>
        <color theme="1"/>
        <rFont val="Calibri"/>
        <family val="2"/>
        <scheme val="minor"/>
      </rPr>
      <t xml:space="preserve">per tree </t>
    </r>
    <r>
      <rPr>
        <i/>
        <sz val="11"/>
        <color theme="1"/>
        <rFont val="Calibri"/>
        <family val="2"/>
        <scheme val="minor"/>
      </rPr>
      <t>below (will excl inflation)</t>
    </r>
  </si>
  <si>
    <r>
      <t xml:space="preserve">Calculations for </t>
    </r>
    <r>
      <rPr>
        <i/>
        <u/>
        <sz val="11"/>
        <color theme="1"/>
        <rFont val="Calibri"/>
        <family val="2"/>
        <scheme val="minor"/>
      </rPr>
      <t>total of trees</t>
    </r>
    <r>
      <rPr>
        <i/>
        <sz val="11"/>
        <color theme="1"/>
        <rFont val="Calibri"/>
        <family val="2"/>
        <scheme val="minor"/>
      </rPr>
      <t xml:space="preserve"> (excl inflation)</t>
    </r>
  </si>
  <si>
    <t>Complete the 'Detailed Input Sheet'. Summary outputs will be displayed below</t>
  </si>
  <si>
    <t>Data will by populated from 'Cost Data' sheet data</t>
  </si>
  <si>
    <t>Enter below</t>
  </si>
  <si>
    <t>Pre-planting costs</t>
  </si>
  <si>
    <t>Year 0</t>
  </si>
  <si>
    <t>Tree purchasing costs</t>
  </si>
  <si>
    <t>Tree planting costs</t>
  </si>
  <si>
    <t>Year 1</t>
  </si>
  <si>
    <t>Tree establishment and early maintenance costs</t>
  </si>
  <si>
    <t>Suggested Years 7-10</t>
  </si>
  <si>
    <t>Long-term maintenance</t>
  </si>
  <si>
    <t>Suggested Years 10-end of project, currently 30 yrs</t>
  </si>
  <si>
    <t>Monitoring, Reporting and Verification (MRV) costs</t>
  </si>
  <si>
    <t>Could be throughout the project</t>
  </si>
  <si>
    <t>Total costs</t>
  </si>
  <si>
    <t>Bulk order tree purchasing discount</t>
  </si>
  <si>
    <t>Total costs incl. inflation and bulk order discount rate</t>
  </si>
  <si>
    <t>Option 2 - Costs Inputs</t>
  </si>
  <si>
    <t>1. Pre-planting costs</t>
  </si>
  <si>
    <r>
      <t xml:space="preserve">Description:
</t>
    </r>
    <r>
      <rPr>
        <sz val="11"/>
        <color theme="1"/>
        <rFont val="Calibri"/>
        <family val="2"/>
        <scheme val="minor"/>
      </rPr>
      <t>This section calculates all costs incurred before tree planting begins, organised into three categories: feasibility assessments, project design, and public consultation. These preliminary investments, which include site investigations, project planning, and community engagement, are allocated to "Year 0" of the financial model, establishing the foundation for project implementation.</t>
    </r>
  </si>
  <si>
    <r>
      <rPr>
        <b/>
        <sz val="11"/>
        <color theme="1"/>
        <rFont val="Calibri"/>
        <family val="2"/>
        <scheme val="minor"/>
      </rPr>
      <t xml:space="preserve">How to use this section: 
</t>
    </r>
    <r>
      <rPr>
        <sz val="11"/>
        <color theme="1"/>
        <rFont val="Calibri"/>
        <family val="2"/>
        <scheme val="minor"/>
      </rPr>
      <t>For each activity, choose the "Type of Contractor", the corresponding "Cost per Hour" and "Hours Required" to create a cost estimate. The section "Example Labour Costs" in the "Cost Data" tab includes estimated staff costs. Labour "Cost per Hour" should include all taxes to reflect the real cost to the organisation developing a tree planting project. 
Feasibility: This category covers all preliminary site investigation costs including desktop research, physical surveys, and technical assessments needed to determine if a location is suitable for tree planting.
Design: This category encompasses the administrative and planning costs associated with developing the project, securing funding, and maintaining proper documentation.
Public Consultation: This category includes all costs related to engaging with the community, gathering feedback, and incorporating public input into the final project design.
[Additional Costs #] : The user can include in this category any other costs relevant for the project.</t>
    </r>
  </si>
  <si>
    <t>PRE-PLANTING COSTS</t>
  </si>
  <si>
    <t>Costs start in</t>
  </si>
  <si>
    <t>Costs end in</t>
  </si>
  <si>
    <t>Costs occuring in Year</t>
  </si>
  <si>
    <t>Category</t>
  </si>
  <si>
    <t>Pre-planting Costs</t>
  </si>
  <si>
    <t>Units</t>
  </si>
  <si>
    <t>Required? (Yes/No)</t>
  </si>
  <si>
    <t>Type of Contractor/ Employee</t>
  </si>
  <si>
    <t>Cost per Hour</t>
  </si>
  <si>
    <t>Hours Required</t>
  </si>
  <si>
    <t>Total Costs excl. inflation</t>
  </si>
  <si>
    <t>Feasibility Assessments</t>
  </si>
  <si>
    <t>Desktop Checks: Utility Stags, Soils</t>
  </si>
  <si>
    <t xml:space="preserve">Unitary cost (£) multiplied by the number of hours </t>
  </si>
  <si>
    <t>Visual Survey: Overhead Lines, Street Signs, Overhead Lighting, Shading Competition</t>
  </si>
  <si>
    <t>Cable Avoidance Tool (CAT) Scan</t>
  </si>
  <si>
    <t>Trial Pit(s)</t>
  </si>
  <si>
    <t>Nursery Visits</t>
  </si>
  <si>
    <t>Other Staff Costs</t>
  </si>
  <si>
    <t>Project Design</t>
  </si>
  <si>
    <t>Obtaining Quotations for Services</t>
  </si>
  <si>
    <t>Grant Applications and Management</t>
  </si>
  <si>
    <t>Updating Relevant Databases</t>
  </si>
  <si>
    <t>Public Consultation</t>
  </si>
  <si>
    <t>Liaising With Residents And Relevant Stakeholders e.g. Trees for Cities</t>
  </si>
  <si>
    <t>Organising Consultations</t>
  </si>
  <si>
    <t>Gathering Data</t>
  </si>
  <si>
    <t>Integrating Findings into Project Design</t>
  </si>
  <si>
    <t>Other non-staff costs</t>
  </si>
  <si>
    <t>Cost Input</t>
  </si>
  <si>
    <t xml:space="preserve">[Additional Costs #1] </t>
  </si>
  <si>
    <t>Whole cost (£)</t>
  </si>
  <si>
    <t xml:space="preserve">[Additional Costs #2] </t>
  </si>
  <si>
    <t xml:space="preserve">[Additional Costs #3] </t>
  </si>
  <si>
    <t xml:space="preserve">[Additional Costs #4] </t>
  </si>
  <si>
    <t xml:space="preserve">[Additional Costs #5] </t>
  </si>
  <si>
    <t xml:space="preserve">[Additional Costs #6] </t>
  </si>
  <si>
    <t xml:space="preserve">[Additional Costs #7] </t>
  </si>
  <si>
    <t xml:space="preserve">[Additional Costs #8] </t>
  </si>
  <si>
    <t xml:space="preserve">[Additional Costs #9] </t>
  </si>
  <si>
    <t xml:space="preserve">[Additional Costs #10] </t>
  </si>
  <si>
    <t>2. Tree purchasing costs</t>
  </si>
  <si>
    <r>
      <t xml:space="preserve">Description: 
</t>
    </r>
    <r>
      <rPr>
        <sz val="11"/>
        <color theme="1"/>
        <rFont val="Calibri"/>
        <family val="2"/>
        <scheme val="minor"/>
      </rPr>
      <t>This section calculates the total costs associated with purchasing and delivering trees for the project. The costs are broken down into the base purchase price per tree and any applicable bulk discounts or delivery charges. These costs are typically incurred at the start of the planting phase and represent a significant portion of the project's capital expenditure alongside "Tree Planting Costs" which are covered in the next section.</t>
    </r>
  </si>
  <si>
    <r>
      <rPr>
        <b/>
        <sz val="11"/>
        <color theme="1"/>
        <rFont val="Calibri"/>
        <family val="2"/>
        <scheme val="minor"/>
      </rPr>
      <t xml:space="preserve">How to use this section: 
</t>
    </r>
    <r>
      <rPr>
        <sz val="11"/>
        <color theme="1"/>
        <rFont val="Calibri"/>
        <family val="2"/>
        <scheme val="minor"/>
      </rPr>
      <t xml:space="preserve">Input the unit cost per tree and any applicable bulk discount percentage. Estimated unit tree costs are available in the "Cost Data" Tab. 
The model will automatically calculate the total costs based on the number of trees specified in the "General Project Characteristics" section. Delivery costs should be entered as a total figure for the entire order. 
</t>
    </r>
  </si>
  <si>
    <t>TREE PURCHASING COSTS</t>
  </si>
  <si>
    <t>Costs Start In</t>
  </si>
  <si>
    <t>Costs End In</t>
  </si>
  <si>
    <t>Costs Incurred in Year</t>
  </si>
  <si>
    <t>Tree Purchasing Costs</t>
  </si>
  <si>
    <t>Unit</t>
  </si>
  <si>
    <t xml:space="preserve">Final Costs excl. inflation </t>
  </si>
  <si>
    <t>Tree Purchasing Cost (per tree)</t>
  </si>
  <si>
    <t>Unitary cost per tree (£) that will be multiplied by the total number of trees in the project</t>
  </si>
  <si>
    <t>Bulk Discount (input is on 'General Input Sheet')</t>
  </si>
  <si>
    <t>%</t>
  </si>
  <si>
    <t>Total Delivery Cost</t>
  </si>
  <si>
    <t>Total delivery cost for all trees (£)</t>
  </si>
  <si>
    <t>3. Tree planting costs</t>
  </si>
  <si>
    <r>
      <t xml:space="preserve">Description: 
</t>
    </r>
    <r>
      <rPr>
        <sz val="11"/>
        <color theme="1"/>
        <rFont val="Calibri"/>
        <family val="2"/>
        <scheme val="minor"/>
      </rPr>
      <t>This section calculates all costs associated with the physical planting of trees, including labor, access requirements, and site preparation. The costs are determined by the type of landscape setting (Soft or Hard) where the trees will be planted, as this significantly affects the complexity and resources required for installation.</t>
    </r>
  </si>
  <si>
    <r>
      <rPr>
        <b/>
        <sz val="11"/>
        <color theme="1"/>
        <rFont val="Calibri"/>
        <family val="2"/>
        <scheme val="minor"/>
      </rPr>
      <t xml:space="preserve">How to use this section: 
</t>
    </r>
    <r>
      <rPr>
        <sz val="11"/>
        <color theme="1"/>
        <rFont val="Calibri"/>
        <family val="2"/>
        <scheme val="minor"/>
      </rPr>
      <t>Tree planting costs are incurred in a single year of implementation, which the user can specify in the model.
This section is divided into two categories: SOFT LANDSCAPE or HARD LANDSCAPE. Based on your selection, complete only the relevant section (either the SOFT LANDSCAPE section beginning on line 100 or the HARD LANDSCAPE section beginning on line 118).
"Highway Access Costs" are positioned before both landscape sections as these costs may apply regardless of landscape type. For instance, planting in soft verges may still require traffic management measures. 
When developing cost estimates, factor in your chosen tree stock specification (rootballed or containerised), as this choice can influence planting costs.</t>
    </r>
  </si>
  <si>
    <t>TREE PLANTING COSTS</t>
  </si>
  <si>
    <t>Landscape Type</t>
  </si>
  <si>
    <t xml:space="preserve">Select </t>
  </si>
  <si>
    <t>Landscape Type (Hard or Soft)</t>
  </si>
  <si>
    <t>Landscape type</t>
  </si>
  <si>
    <t>Highway Access Costs</t>
  </si>
  <si>
    <t>Inputs</t>
  </si>
  <si>
    <t>Highway Access Labour Cost</t>
  </si>
  <si>
    <t>Unitary cost (£) per day</t>
  </si>
  <si>
    <t>Number of Work Days Required</t>
  </si>
  <si>
    <t>Total number of days (#)</t>
  </si>
  <si>
    <t>Overheads</t>
  </si>
  <si>
    <t>Traffic Management Licensing and Permit Fees</t>
  </si>
  <si>
    <t>Utility Checks (e.g. for Street Verges)</t>
  </si>
  <si>
    <t>Controlled Parking Zone (CPZ) Costs</t>
  </si>
  <si>
    <t>&lt;-</t>
  </si>
  <si>
    <t>SOFT LANDSCAPE</t>
  </si>
  <si>
    <r>
      <t xml:space="preserve">Description: 
</t>
    </r>
    <r>
      <rPr>
        <sz val="11"/>
        <color theme="1"/>
        <rFont val="Calibri"/>
        <family val="2"/>
        <scheme val="minor"/>
      </rPr>
      <t>This section calculates the costs associated with planting trees in soft landscape areas such as parks, grass verges, or other unpaved surfaces. It includes essential elements like labor, ground stakes, watering systems, and any additional site-specific requirements.</t>
    </r>
  </si>
  <si>
    <r>
      <rPr>
        <b/>
        <sz val="11"/>
        <color theme="1"/>
        <rFont val="Calibri"/>
        <family val="2"/>
        <scheme val="minor"/>
      </rPr>
      <t xml:space="preserve">How to use this section: </t>
    </r>
    <r>
      <rPr>
        <sz val="11"/>
        <color theme="1"/>
        <rFont val="Calibri"/>
        <family val="2"/>
        <scheme val="minor"/>
      </rPr>
      <t xml:space="preserve">
Input "Urban Tree Planting Labour" costs associated with planting the trees and ensure these costs are distinct from the "Highway Access Labour" costs already captured above.
Input "Ground Anchoring or Stakes" and "Watering Systems" costs. Note: Ongoing watering maintenance costs should not be included here as they are covered in the Tree Establishment and Maintenance section. 
Use the additional cost lines for supplementary items such as tree protection measures and any other site-specific requirements relevant to soft landscape planting.</t>
    </r>
  </si>
  <si>
    <t>Soft Landscape Cost Items</t>
  </si>
  <si>
    <t>Costs</t>
  </si>
  <si>
    <t>Urban Tree Planting Labour</t>
  </si>
  <si>
    <t>Unitary cost per day (£) will be multiplied by number of days</t>
  </si>
  <si>
    <t>Ground Anchoring or Stakes</t>
  </si>
  <si>
    <t>Unitary cost (£) will be multiplied by number of trees</t>
  </si>
  <si>
    <t>Watering Systems (e.g. watering bag, watering tube, etc.)</t>
  </si>
  <si>
    <t>HARD LANDSCAPE</t>
  </si>
  <si>
    <r>
      <t xml:space="preserve">Description: 
</t>
    </r>
    <r>
      <rPr>
        <sz val="11"/>
        <color theme="1"/>
        <rFont val="Calibri"/>
        <family val="2"/>
        <scheme val="minor"/>
      </rPr>
      <t>This section calculates the total costs associated with civil engineering, excavation, and installation works required for urban tree planting. Within "Civil Engineering and Excavation Costs", the costs are broken down into four main categories: General Labour Costs, Demolition Costs, Installation Costs and Additional Elements. These works include essential activities such as site preparation, soil management, pit installation, and specialised planting infrastructure. The section also allows for additional optional elements that may be required for specific site conditions or Local Authority requirements which can be inputed in the sections Additional Elements and Additional Costs.</t>
    </r>
  </si>
  <si>
    <r>
      <rPr>
        <b/>
        <sz val="11"/>
        <color theme="1"/>
        <rFont val="Calibri"/>
        <family val="2"/>
        <scheme val="minor"/>
      </rPr>
      <t xml:space="preserve">How to use this section: </t>
    </r>
    <r>
      <rPr>
        <sz val="11"/>
        <color theme="1"/>
        <rFont val="Calibri"/>
        <family val="2"/>
        <scheme val="minor"/>
      </rPr>
      <t xml:space="preserve">
Within "Civil Engineering and Excavation Costs", the "Urban Tree Planting Labour" costs are associated with planting the trees and it should be ensured that these costs are distinct from the "Highway Access Labour" costs already captured above and that there is no duplication with the "Demolition" and "Installation" costs below (i.e. cost items such as "Mark Area, Cut and Break Hard Surface", "Creating a Build-out", and "Tree Installation" might include some labour costs). The user can change the input in the "Required" column to "No" in order to deactivate a specific cost item. 
The "Additional Elements" section allows the user to factor in the purchasing costs of other optional supplies needed for the tree planting project.
</t>
    </r>
  </si>
  <si>
    <t>Civil Engineering and Excavation Costs</t>
  </si>
  <si>
    <t>General Labour Costs</t>
  </si>
  <si>
    <t>Unitary cost (£) that will be multiplied by number of days required</t>
  </si>
  <si>
    <t>Tree Planting Contractor Labor Days</t>
  </si>
  <si>
    <t>Demolition &amp; Removal</t>
  </si>
  <si>
    <t>Mark Area, Cut and Break Hard Surface</t>
  </si>
  <si>
    <t>Other Demolition</t>
  </si>
  <si>
    <t>Removal of Contaminated Soils / Excavating Spoils</t>
  </si>
  <si>
    <t>Installation</t>
  </si>
  <si>
    <t>Creating a Build-out</t>
  </si>
  <si>
    <t>Tree Installation</t>
  </si>
  <si>
    <t>Specialised Planting Infrastructure (e.g. cells, concrete)</t>
  </si>
  <si>
    <t>Volume of Planting Medium (Topsoil to BS3882:2015)</t>
  </si>
  <si>
    <t xml:space="preserve">Unitary cost (£ per m3) that will be multiplied by cubic metres (m3) </t>
  </si>
  <si>
    <t>Cost of Planting Medium</t>
  </si>
  <si>
    <t xml:space="preserve">Surface Treatment for Tree Openning (grass verge treatment, grill/tray/crumb, mulch, etc.) </t>
  </si>
  <si>
    <t>Surface Reinstatement</t>
  </si>
  <si>
    <t>Tree Protection (e.g. tree guard)</t>
  </si>
  <si>
    <t>Additional Elements</t>
  </si>
  <si>
    <t>Quantity Required (if working with total amount, input 1 and whole cost in the next column)</t>
  </si>
  <si>
    <t>Unitary Costs</t>
  </si>
  <si>
    <t>Underground Guying System (anchor plates and cable)</t>
  </si>
  <si>
    <t>Unitary cost (£) will be multiplied by quantity required</t>
  </si>
  <si>
    <t>Root Deflector</t>
  </si>
  <si>
    <t>Aeration System</t>
  </si>
  <si>
    <t>Sustainable Urban Drainage Systems (SuDS)</t>
  </si>
  <si>
    <r>
      <t>M</t>
    </r>
    <r>
      <rPr>
        <vertAlign val="superscript"/>
        <sz val="11"/>
        <color theme="1"/>
        <rFont val="Calibri"/>
        <family val="2"/>
      </rPr>
      <t>2</t>
    </r>
    <r>
      <rPr>
        <sz val="11"/>
        <color theme="1"/>
        <rFont val="Calibri"/>
        <family val="2"/>
        <scheme val="minor"/>
      </rPr>
      <t xml:space="preserve"> of Root Barrier Material or Sheet Barrier</t>
    </r>
  </si>
  <si>
    <t>Cellular Aggregate Confinement System, e.g. Cellweb</t>
  </si>
  <si>
    <t>Additional Costs</t>
  </si>
  <si>
    <t>Cost #1</t>
  </si>
  <si>
    <t>[Additional Costs #8]</t>
  </si>
  <si>
    <t>[Additional Costs #10]</t>
  </si>
  <si>
    <t>4. Tree establishment and early maintenance costs</t>
  </si>
  <si>
    <t>Description:</t>
  </si>
  <si>
    <t xml:space="preserve">This section calculates the costs required during the initial years for the tree's establishment and maintenance. Dependent on the project, there is the possibility to include establishment and maintenance costs for up to 10 years in this model. Each Year's section includes the same activities, which are split into either "Recurring Unitary" (incl., recurring maintenance units) or "Annual Unitary" (incl., establishment checks, maintenace around stakes, ties and guard, grills etc., safety inspections, crown lifting, weeding etc.) costs, with the possibility of including "Additional costs" for all. The option to include a "Tree failure rate" and costs related to replacing the tree(s) in question is also available. </t>
  </si>
  <si>
    <r>
      <rPr>
        <b/>
        <sz val="11"/>
        <color theme="1"/>
        <rFont val="Calibri"/>
        <family val="2"/>
      </rPr>
      <t>How to use this section:</t>
    </r>
    <r>
      <rPr>
        <b/>
        <sz val="11"/>
        <color theme="1"/>
        <rFont val="Calibri"/>
        <family val="2"/>
        <scheme val="minor"/>
      </rPr>
      <t xml:space="preserve"> </t>
    </r>
    <r>
      <rPr>
        <sz val="11"/>
        <color theme="1"/>
        <rFont val="Calibri"/>
        <family val="2"/>
        <scheme val="minor"/>
      </rPr>
      <t xml:space="preserve">
For ease, click the "+" sign on the left to expand/collapse the various years. Suggestion to user to start the establishment and maintenance period at the end of the planting period. There is also the option add any additional costs that may be required for each year. There are some limited indicative costings included within the "Cost Data" sheet. </t>
    </r>
  </si>
  <si>
    <t>TREE ESTABLISHMENT AND MAINTENANCE COSTS</t>
  </si>
  <si>
    <t>Length of time (yrs) for establishment and maintenance</t>
  </si>
  <si>
    <t>Tree Failure Rate</t>
  </si>
  <si>
    <t>Year to include the cost in</t>
  </si>
  <si>
    <t>Insert</t>
  </si>
  <si>
    <t>Tree failure rate</t>
  </si>
  <si>
    <t>Replacement costs per tree</t>
  </si>
  <si>
    <t>Costs per tree (£)</t>
  </si>
  <si>
    <t>Year 1 of establishment and maintenance</t>
  </si>
  <si>
    <t>Activities</t>
  </si>
  <si>
    <t>Total costs for the total number of visits</t>
  </si>
  <si>
    <t>Total Costs (per tree)</t>
  </si>
  <si>
    <t>Total Costs (per visit)</t>
  </si>
  <si>
    <t>Recurring unitary maintenece visits</t>
  </si>
  <si>
    <t>Recuring unitary maintenance visits (e.g. watering, mulching, etc.)</t>
  </si>
  <si>
    <t>Unitary cost (£) that will be multiplied by the number of visits in the year required</t>
  </si>
  <si>
    <t>Number of visits in the year</t>
  </si>
  <si>
    <t>Annual unitary maintenance costs (if required)</t>
  </si>
  <si>
    <t>Establishment checks (including collection, collation, interpretation and sharing of consistent tree establishment data )</t>
  </si>
  <si>
    <t>Maintenance, removal and/or disposal of (where relevant) stakes, ties, and guard, grills, concrete rings, base surrounds, tree protection, etc.</t>
  </si>
  <si>
    <t xml:space="preserve">Unitary cost per tree (£) that will be multiplied by the total number of trees </t>
  </si>
  <si>
    <t xml:space="preserve">Safety inspection cost </t>
  </si>
  <si>
    <t xml:space="preserve">Unitary cost per tree per year (£) that will be multiplied by the total number of trees </t>
  </si>
  <si>
    <t xml:space="preserve">Crown lifting </t>
  </si>
  <si>
    <t>Deadwood cleanout</t>
  </si>
  <si>
    <t>Additional costs related for specialist pruning regimes</t>
  </si>
  <si>
    <t>Weeding</t>
  </si>
  <si>
    <t>Epicormic growth removal </t>
  </si>
  <si>
    <t xml:space="preserve">Costs associated with standpipes </t>
  </si>
  <si>
    <t>Year 1 - Additional Costs</t>
  </si>
  <si>
    <t>Total Costs</t>
  </si>
  <si>
    <t>Crown Lifting</t>
  </si>
  <si>
    <t>[Additional costs #2]</t>
  </si>
  <si>
    <t xml:space="preserve">[Additional costs #3] </t>
  </si>
  <si>
    <t>[Additional costs #4]</t>
  </si>
  <si>
    <t xml:space="preserve">[Additional costs #5] </t>
  </si>
  <si>
    <t>Year 2 of establishment and maintenance</t>
  </si>
  <si>
    <t>Year 2 - Additional Costs</t>
  </si>
  <si>
    <t xml:space="preserve">[Additional costs #1] </t>
  </si>
  <si>
    <t>Year 3 of establishment and maintenance</t>
  </si>
  <si>
    <t>Year 3 - Additional Costs</t>
  </si>
  <si>
    <t>Year 4 of establishment and maintenance</t>
  </si>
  <si>
    <t>Year 4 - Additional Costs</t>
  </si>
  <si>
    <t>Year 5 of establishment and maintenance</t>
  </si>
  <si>
    <t>Year 5 - Additional Costs</t>
  </si>
  <si>
    <t>Year 6 of establishment and maintenance</t>
  </si>
  <si>
    <t>Year 6 - Additional Costs</t>
  </si>
  <si>
    <t>Year 7 of establishment and maintenance</t>
  </si>
  <si>
    <t>Year 7 - Additional Costs</t>
  </si>
  <si>
    <t>Year 8 of establishment and maintenance</t>
  </si>
  <si>
    <t>Year 8 - Additional Costs</t>
  </si>
  <si>
    <t>Year 9 of establishment and maintenance</t>
  </si>
  <si>
    <t>Year 9 - Additional Costs</t>
  </si>
  <si>
    <t>Year 10 of establishment and maintenance</t>
  </si>
  <si>
    <t>Year 10 - Additional Costs</t>
  </si>
  <si>
    <t>5. Long-term maintenance</t>
  </si>
  <si>
    <t xml:space="preserve">This section ensures that long-term maintenance costs are factored into the project's financial planning. The costs start in the last year of Section 4 and end in the penultimate year of the project (calculated through the "Life Expectancy" input in Section 1). All of these costs would need to be accounted for to ensure correct maintenance care is provided, therefore the 'Required? (Y/N)' option has not been included here. </t>
  </si>
  <si>
    <t xml:space="preserve">How to use this section: </t>
  </si>
  <si>
    <t xml:space="preserve">Input the number of expected visits to the tree(s) in one year and then input the unitary costs of each visit; this will calculate the expected costs for the long-term maintenance of the project. </t>
  </si>
  <si>
    <t>TREE LONG-TERM MAINTENANCE COSTS</t>
  </si>
  <si>
    <t>Information</t>
  </si>
  <si>
    <t>Total (per year) , excl. inflation</t>
  </si>
  <si>
    <t>Total (for whole project), excl. inflation</t>
  </si>
  <si>
    <t>Number of visits per year</t>
  </si>
  <si>
    <t>Number of visits in one year (#)</t>
  </si>
  <si>
    <t>Costs of visits</t>
  </si>
  <si>
    <t xml:space="preserve">Unitary costs (£) multiplied by frequency </t>
  </si>
  <si>
    <t>6. Monitoring, Reporting and Verification (MRV) costs</t>
  </si>
  <si>
    <t xml:space="preserve">Description: </t>
  </si>
  <si>
    <t xml:space="preserve">This section may not be needed for all projects; it has been included for those that are required to undertake MRV as part of for instance, grant reporting. In addition, it could be useful for projects that are aiming to quantify and demonstrate any Ecosystem Servive benefits delivered through the Urban Tree Project. </t>
  </si>
  <si>
    <t xml:space="preserve">Input the year that the costs that the MRV process is expected to start and end in. In the "Information" section, select "Yes" if you would like to include the cost in the calculations; then insert the frequency of the monitoring and the total costs of the process (per year - this will be multiplied by the indicated frequency). If the project has irregular MRV costs, you can click into the "Cashflow" tab, and insert these directly into line 359. </t>
  </si>
  <si>
    <t>MONITORING, REPORTING AND VERIFICATION (MRV) COSTS</t>
  </si>
  <si>
    <t>Frequency (by year)</t>
  </si>
  <si>
    <t>Number of years (#)</t>
  </si>
  <si>
    <t>MRV Costs (total)</t>
  </si>
  <si>
    <r>
      <t xml:space="preserve">If the project has irregular MRV costs, these can be inserted directly into the cashflow tab </t>
    </r>
    <r>
      <rPr>
        <b/>
        <u/>
        <sz val="11"/>
        <color theme="1"/>
        <rFont val="Calibri"/>
        <family val="2"/>
      </rPr>
      <t>in line 359</t>
    </r>
    <r>
      <rPr>
        <u/>
        <sz val="11"/>
        <color theme="1"/>
        <rFont val="Calibri"/>
        <family val="2"/>
        <scheme val="minor"/>
      </rPr>
      <t xml:space="preserve"> if necessary</t>
    </r>
  </si>
  <si>
    <t>Option 1 - Cashflow</t>
  </si>
  <si>
    <t>ASSUMPTIONS PULLED THROUGH FROM INPUTS SHEET</t>
  </si>
  <si>
    <t xml:space="preserve">Option selected </t>
  </si>
  <si>
    <t>Project Duration</t>
  </si>
  <si>
    <t xml:space="preserve">This sheet option </t>
  </si>
  <si>
    <t>COSTINGS</t>
  </si>
  <si>
    <t>Bulk order discount</t>
  </si>
  <si>
    <t>Total (excl inflation)</t>
  </si>
  <si>
    <t>Year</t>
  </si>
  <si>
    <t>Option 2 - Cashflow</t>
  </si>
  <si>
    <t>Inflation Factor</t>
  </si>
  <si>
    <t>Total pre-planting costs</t>
  </si>
  <si>
    <t>Total tree purchasing costs</t>
  </si>
  <si>
    <t>Hard/Soft Landscape</t>
  </si>
  <si>
    <t>Total tree planting costs</t>
  </si>
  <si>
    <t>Total tree establishment and maintenance costs year 1</t>
  </si>
  <si>
    <t>Total tree establishment and maintenance costs year 2</t>
  </si>
  <si>
    <t>Total tree establishment and maintenance costs year 3</t>
  </si>
  <si>
    <t>Total tree establishment and maintenance costs year 4</t>
  </si>
  <si>
    <t>Total tree establishment and maintenance costs year 5</t>
  </si>
  <si>
    <t>Total tree establishment and maintenance costs year 6</t>
  </si>
  <si>
    <t>Total tree establishment and maintenance costs year 7</t>
  </si>
  <si>
    <t>Total tree establishment and maintenance costs year 8</t>
  </si>
  <si>
    <t>Total tree establishment and maintenance costs year 9</t>
  </si>
  <si>
    <t>Total tree establishment and maintenance costs year 10</t>
  </si>
  <si>
    <t xml:space="preserve">Expand to see breakdown year by year </t>
  </si>
  <si>
    <t>SUMMARY TABLE</t>
  </si>
  <si>
    <t>Total Costs excl. inflation per Year</t>
  </si>
  <si>
    <t xml:space="preserve">YEAR 1 </t>
  </si>
  <si>
    <t>YEAR 2</t>
  </si>
  <si>
    <t>YEAR 3</t>
  </si>
  <si>
    <t>YEAR 4</t>
  </si>
  <si>
    <t>YEAR 5</t>
  </si>
  <si>
    <t>YEAR 6</t>
  </si>
  <si>
    <t>YEAR 7</t>
  </si>
  <si>
    <t>YEAR 8</t>
  </si>
  <si>
    <t>YEAR 9</t>
  </si>
  <si>
    <t>YEAR 10</t>
  </si>
  <si>
    <t>Total tree establishment and early maintenance costs</t>
  </si>
  <si>
    <t>Total long-term maintenance</t>
  </si>
  <si>
    <t>MRV Costs</t>
  </si>
  <si>
    <t>Manual Monitoring and evaluation costs (include inflation within figures if necessary)</t>
  </si>
  <si>
    <t>Insert directly into cashflow sheet  &gt;&gt; (double click cell to navigate to CFW and must be negative figures)</t>
  </si>
  <si>
    <t>Total MRV Costs</t>
  </si>
  <si>
    <t>7. Other Costs</t>
  </si>
  <si>
    <t>Sales Fee</t>
  </si>
  <si>
    <t>Contingency cost</t>
  </si>
  <si>
    <t>Total Other Costs</t>
  </si>
  <si>
    <t>Total Project Costs</t>
  </si>
  <si>
    <t>Option 3 - Cashflow</t>
  </si>
  <si>
    <t>Years</t>
  </si>
  <si>
    <t>Per 100 trees</t>
  </si>
  <si>
    <t>This project</t>
  </si>
  <si>
    <t>Bulk number</t>
  </si>
  <si>
    <t xml:space="preserve">Soft Landscape Cost </t>
  </si>
  <si>
    <t>Hard Landscape Cost</t>
  </si>
  <si>
    <t>Cost</t>
  </si>
  <si>
    <t>Detailed List Inputs</t>
  </si>
  <si>
    <t>Hard Landscape</t>
  </si>
  <si>
    <t>10-12cm DBH</t>
  </si>
  <si>
    <t>12-14cm DBH</t>
  </si>
  <si>
    <t>14-16cm DBH</t>
  </si>
  <si>
    <t>16-18cm DBH</t>
  </si>
  <si>
    <t>18-20cm DBH</t>
  </si>
  <si>
    <t>20-25cm DBH</t>
  </si>
  <si>
    <t>Total tree purchasing costs with bulk order discount</t>
  </si>
  <si>
    <t>Watering visits</t>
  </si>
  <si>
    <t>Number of visits</t>
  </si>
  <si>
    <t xml:space="preserve">Cost </t>
  </si>
  <si>
    <t>Cost per tree</t>
  </si>
  <si>
    <t>Maintenance</t>
  </si>
  <si>
    <t>Total tree establishment and maintenance costs</t>
  </si>
  <si>
    <t>Frequency</t>
  </si>
  <si>
    <t>Number within category</t>
  </si>
  <si>
    <t>Safety Inspection</t>
  </si>
  <si>
    <t>Total long-term maintenance costs</t>
  </si>
  <si>
    <t>6. Other costs</t>
  </si>
  <si>
    <t>Total other costs</t>
  </si>
  <si>
    <t>Option 3 - Cost Data</t>
  </si>
  <si>
    <t xml:space="preserve">Disclaimer: The data in this sheet is data from 2019 - 2024. The data derives from data and indicative costs collected by an Urban Forest Consultant who ran a consultation process with local authorities and contractors. However, users are encouraged to cross check these estimates with use their own data sources. </t>
  </si>
  <si>
    <t>Week Days Per Year</t>
  </si>
  <si>
    <t>Work Hours Per Day</t>
  </si>
  <si>
    <t>Minutes Per Hour</t>
  </si>
  <si>
    <t>Data from October 2019</t>
  </si>
  <si>
    <t>Staff costs</t>
  </si>
  <si>
    <t>Salary</t>
  </si>
  <si>
    <t>(NI &amp; Pension @ %)</t>
  </si>
  <si>
    <t>On-costs pa</t>
  </si>
  <si>
    <t>Total Cost pa</t>
  </si>
  <si>
    <t>Vehicle, Equipment &amp; Overheads</t>
  </si>
  <si>
    <t>Day</t>
  </si>
  <si>
    <t>Hour</t>
  </si>
  <si>
    <t>Minute</t>
  </si>
  <si>
    <t>Woodland Planting contractor</t>
  </si>
  <si>
    <t>Urban tree planting contractor</t>
  </si>
  <si>
    <t>Site manager/ranger</t>
  </si>
  <si>
    <t>Land manager</t>
  </si>
  <si>
    <t>Tree Officer</t>
  </si>
  <si>
    <t>Ecologist</t>
  </si>
  <si>
    <t>Landscape Architect</t>
  </si>
  <si>
    <t>Project Manager</t>
  </si>
  <si>
    <t>Highways engineer</t>
  </si>
  <si>
    <t>Ganger/Mason Paviour</t>
  </si>
  <si>
    <t>Roadman/Driver</t>
  </si>
  <si>
    <t xml:space="preserve">Tree officer </t>
  </si>
  <si>
    <t>Number of days</t>
  </si>
  <si>
    <t>Per # trees</t>
  </si>
  <si>
    <t>Site survey</t>
  </si>
  <si>
    <t>CAT scan</t>
  </si>
  <si>
    <t>Community engagement</t>
  </si>
  <si>
    <t>Project management (20% overhead)</t>
  </si>
  <si>
    <t>Soft Landscape (DBH)</t>
  </si>
  <si>
    <t>Bare-root trees purchase cost</t>
  </si>
  <si>
    <t>Low (-50%)</t>
  </si>
  <si>
    <t>Average</t>
  </si>
  <si>
    <t>High (+50%)</t>
  </si>
  <si>
    <t xml:space="preserve">Average </t>
  </si>
  <si>
    <t>Containerised trees purchase cost</t>
  </si>
  <si>
    <t>Hard Landscape (DBH)</t>
  </si>
  <si>
    <t>Basic planting  in soft landscape (incl. excavation, provision and installation of stakes, ties, strimmer gard, watering tube) - containerised/rootballed</t>
  </si>
  <si>
    <t>Total average</t>
  </si>
  <si>
    <t xml:space="preserve">Basic planting in highways in a "ready" standard pit (incl. stakes, ties, wire mesh guard, watering tube or watering bag, and root deflector) </t>
  </si>
  <si>
    <t>Total High-end cost</t>
  </si>
  <si>
    <t>-</t>
  </si>
  <si>
    <t>4. Tree establishment and maintenance costs</t>
  </si>
  <si>
    <t>Yr 1 nb of watering visits</t>
  </si>
  <si>
    <t>Yr 2 nb of watering visits</t>
  </si>
  <si>
    <t>Yr 3 nb of watering visits</t>
  </si>
  <si>
    <t>Watering cost per visit (£)</t>
  </si>
  <si>
    <t>Cost of mulch reapplied around one young tree, twice over the first 3 years</t>
  </si>
  <si>
    <t xml:space="preserve">Maintenance </t>
  </si>
  <si>
    <t>Per tree per year in maintenance</t>
  </si>
  <si>
    <t>Remove and dispose of stakes, ties, and if present guard from young tree</t>
  </si>
  <si>
    <t>Safety inspection cost - every 3 years - per street tree</t>
  </si>
  <si>
    <t>Safety inspection cost - every 3 years - per park tree</t>
  </si>
  <si>
    <t>Crown lifting &amp; deadwood cleanout</t>
  </si>
  <si>
    <t>Average Minimum</t>
  </si>
  <si>
    <t>N/A</t>
  </si>
  <si>
    <t>Additional Cost Data</t>
  </si>
  <si>
    <t>8-10cm DBH bareroot</t>
  </si>
  <si>
    <t>10-12cm DBH bareroot</t>
  </si>
  <si>
    <t>12-14cm DBH bareroot</t>
  </si>
  <si>
    <t>14-16cm DBH bareroot</t>
  </si>
  <si>
    <t>8-10cm DBH  rootballed/containerised</t>
  </si>
  <si>
    <t>10-12cm DBH  rootballed/containerised</t>
  </si>
  <si>
    <t>12-14cm DBH rootballed/containerised</t>
  </si>
  <si>
    <t>14-16cm DBH rootballed/containerised</t>
  </si>
  <si>
    <t>Highway access</t>
  </si>
  <si>
    <t>Modifying a Traffic Regulation Order (TRO) in a CPZ</t>
  </si>
  <si>
    <t>License to work within the highway limits (S171 Highway Act)</t>
  </si>
  <si>
    <t>Temporary traffic lights</t>
  </si>
  <si>
    <t>Lane closure</t>
  </si>
  <si>
    <t>Temp. Traffic Regulation Order (TTRO)</t>
  </si>
  <si>
    <t>Excavation, disposal of waste materials and reinsatement post planting - for all load bearing systems</t>
  </si>
  <si>
    <t>Unit costs (per m3 or per item)</t>
  </si>
  <si>
    <t>Unit cost source</t>
  </si>
  <si>
    <t>Mark area &amp; cut hard surface </t>
  </si>
  <si>
    <t>per m2</t>
  </si>
  <si>
    <t>Break out hard surface</t>
  </si>
  <si>
    <t>Reinstate tarmacadam (4m²=1m³)</t>
  </si>
  <si>
    <t>Stockholm System: Materials required</t>
  </si>
  <si>
    <t>Underground guying system (anchor plates and cable)</t>
  </si>
  <si>
    <t>Contractors</t>
  </si>
  <si>
    <t>Tree watering bag</t>
  </si>
  <si>
    <t>GreenTech https://www.green-tech.co.uk/tree-and-planter-irrigation-systems/tree-and-plant-watering-systems/mona-tree-irrigation/tree-irrigator-bag</t>
  </si>
  <si>
    <t>Tree grill</t>
  </si>
  <si>
    <t>Concrete planting frames*</t>
  </si>
  <si>
    <t>Aeration wells* or kerbside gully pot inlets</t>
  </si>
  <si>
    <t>Gully grates</t>
  </si>
  <si>
    <t>Internet search for road-grate gully grate (https://www.easymerchant.co.uk/manhole-covers/gully-grids/d400-ductile-iron-grate/)</t>
  </si>
  <si>
    <r>
      <t>m</t>
    </r>
    <r>
      <rPr>
        <vertAlign val="superscript"/>
        <sz val="12"/>
        <color theme="1"/>
        <rFont val="Calibri"/>
        <family val="2"/>
        <scheme val="minor"/>
      </rPr>
      <t>3</t>
    </r>
    <r>
      <rPr>
        <sz val="12"/>
        <color theme="1"/>
        <rFont val="Calibri"/>
        <family val="2"/>
        <scheme val="minor"/>
      </rPr>
      <t xml:space="preserve"> 32‒63mm clean stone for the structural soil </t>
    </r>
  </si>
  <si>
    <t>Cost for premix structural soil consisting of 32-63mm granite combined with 1:1 mix of biochar and compost (15% volume), supplied to South of England, incl delivery cost. Ben Rose, Stockholm Tree Pit</t>
  </si>
  <si>
    <r>
      <t>m</t>
    </r>
    <r>
      <rPr>
        <vertAlign val="superscript"/>
        <sz val="12"/>
        <color theme="1"/>
        <rFont val="Calibri"/>
        <family val="2"/>
        <scheme val="minor"/>
      </rPr>
      <t>3</t>
    </r>
    <r>
      <rPr>
        <sz val="12"/>
        <color theme="1"/>
        <rFont val="Calibri"/>
        <family val="2"/>
        <scheme val="minor"/>
      </rPr>
      <t xml:space="preserve"> 20‒40mm clean stone for the aeration layer </t>
    </r>
    <r>
      <rPr>
        <i/>
        <sz val="12"/>
        <color theme="1"/>
        <rFont val="Calibri"/>
        <family val="2"/>
        <scheme val="minor"/>
      </rPr>
      <t>(assuming the structural soil is 1.0m deep)</t>
    </r>
  </si>
  <si>
    <t xml:space="preserve">Approximately 1.6 tonnes per m³. Internet search for clean crushed stone aggregate, includes delivery. 20-40mm https://www.hickmanlandscapes.co.uk/online-shop/aggregates/stone-clean-crushed-20---40mm </t>
  </si>
  <si>
    <r>
      <t>m</t>
    </r>
    <r>
      <rPr>
        <vertAlign val="superscript"/>
        <sz val="12"/>
        <color theme="1"/>
        <rFont val="Calibri"/>
        <family val="2"/>
        <scheme val="minor"/>
      </rPr>
      <t>3</t>
    </r>
    <r>
      <rPr>
        <sz val="12"/>
        <color theme="1"/>
        <rFont val="Calibri"/>
        <family val="2"/>
        <scheme val="minor"/>
      </rPr>
      <t xml:space="preserve"> enriched biochar for the structural soil**</t>
    </r>
  </si>
  <si>
    <t>n.a. assume use of pre-mix stone/soil/biochar</t>
  </si>
  <si>
    <r>
      <t>m</t>
    </r>
    <r>
      <rPr>
        <vertAlign val="superscript"/>
        <sz val="12"/>
        <color theme="1"/>
        <rFont val="Calibri"/>
        <family val="2"/>
        <scheme val="minor"/>
      </rPr>
      <t>3</t>
    </r>
    <r>
      <rPr>
        <sz val="12"/>
        <color theme="1"/>
        <rFont val="Calibri"/>
        <family val="2"/>
        <scheme val="minor"/>
      </rPr>
      <t xml:space="preserve"> PAS100 multi-purpose compost for the structural soil (supplied to PAS 100:2018)</t>
    </r>
  </si>
  <si>
    <r>
      <t>m</t>
    </r>
    <r>
      <rPr>
        <vertAlign val="superscript"/>
        <sz val="12"/>
        <color theme="1"/>
        <rFont val="Calibri"/>
        <family val="2"/>
        <scheme val="minor"/>
      </rPr>
      <t>3</t>
    </r>
    <r>
      <rPr>
        <sz val="12"/>
        <color theme="1"/>
        <rFont val="Calibri"/>
        <family val="2"/>
        <scheme val="minor"/>
      </rPr>
      <t xml:space="preserve"> Topsoil for filling around the rootballs (supplied to BS3882:2015)</t>
    </r>
  </si>
  <si>
    <t>Internet search for loose cubic meter of top soil, incl delivery</t>
  </si>
  <si>
    <r>
      <t>m</t>
    </r>
    <r>
      <rPr>
        <vertAlign val="superscript"/>
        <sz val="12"/>
        <color theme="1"/>
        <rFont val="Calibri"/>
        <family val="2"/>
      </rPr>
      <t>2</t>
    </r>
    <r>
      <rPr>
        <sz val="12"/>
        <color theme="1"/>
        <rFont val="Calibri"/>
        <family val="2"/>
        <scheme val="minor"/>
      </rPr>
      <t xml:space="preserve"> of separation geotextile (100-300g/m2)  to cover the top of the aeration layer.</t>
    </r>
  </si>
  <si>
    <t xml:space="preserve">Internet search for Terram membrane https://corker.co.uk/geotextiles/terram-1000-geotextile-membrane/ </t>
  </si>
  <si>
    <r>
      <t>m</t>
    </r>
    <r>
      <rPr>
        <vertAlign val="superscript"/>
        <sz val="12"/>
        <color theme="1"/>
        <rFont val="Calibri"/>
        <family val="2"/>
      </rPr>
      <t>2</t>
    </r>
    <r>
      <rPr>
        <sz val="12"/>
        <color theme="1"/>
        <rFont val="Calibri"/>
        <family val="2"/>
        <scheme val="minor"/>
      </rPr>
      <t xml:space="preserve"> of Root barrier material (assumption here is that it is provided on one side only)</t>
    </r>
  </si>
  <si>
    <t>Assumes only one side of the installation includes a root barrier. Internet search for root barrier cost: https://www.green-tech.co.uk/hard-landscaping/tree-pit-root-barriers/root-barrier-325</t>
  </si>
  <si>
    <t>Installation (excluding excavation and reinstatement)</t>
  </si>
  <si>
    <t xml:space="preserve">per m2. Source: Contractor. </t>
  </si>
  <si>
    <r>
      <t>*</t>
    </r>
    <r>
      <rPr>
        <b/>
        <sz val="12"/>
        <color theme="1"/>
        <rFont val="Calibri"/>
        <family val="2"/>
        <scheme val="minor"/>
      </rPr>
      <t>Stockholm Tree Pits</t>
    </r>
    <r>
      <rPr>
        <sz val="12"/>
        <color theme="1"/>
        <rFont val="Calibri"/>
        <family val="2"/>
        <scheme val="minor"/>
      </rPr>
      <t xml:space="preserve"> are the only UK providers of concrete planting frames and aeration wells that are specifically designed for tree pits.</t>
    </r>
  </si>
  <si>
    <r>
      <t>**</t>
    </r>
    <r>
      <rPr>
        <b/>
        <sz val="12"/>
        <color theme="1"/>
        <rFont val="Calibri"/>
        <family val="2"/>
        <scheme val="minor"/>
      </rPr>
      <t>Stockholm Tree Pits</t>
    </r>
    <r>
      <rPr>
        <sz val="12"/>
        <color theme="1"/>
        <rFont val="Calibri"/>
        <family val="2"/>
        <scheme val="minor"/>
      </rPr>
      <t xml:space="preserve"> can supply </t>
    </r>
    <r>
      <rPr>
        <b/>
        <sz val="12"/>
        <color theme="1"/>
        <rFont val="Calibri"/>
        <family val="2"/>
        <scheme val="minor"/>
      </rPr>
      <t>Carbon Gold Tree Soil Improver biochar</t>
    </r>
    <r>
      <rPr>
        <sz val="12"/>
        <color theme="1"/>
        <rFont val="Calibri"/>
        <family val="2"/>
        <scheme val="minor"/>
      </rPr>
      <t xml:space="preserve"> at a discounted rate for use in the structural soil mix.</t>
    </r>
  </si>
  <si>
    <t>Amsterdam tree soil: Materials required  (excluding watering tube, tree grill, support system, tree guard)</t>
  </si>
  <si>
    <t>Root director</t>
  </si>
  <si>
    <r>
      <t>m</t>
    </r>
    <r>
      <rPr>
        <vertAlign val="superscript"/>
        <sz val="12"/>
        <rFont val="Calibri"/>
        <family val="2"/>
        <scheme val="minor"/>
      </rPr>
      <t>3</t>
    </r>
    <r>
      <rPr>
        <sz val="12"/>
        <rFont val="Calibri"/>
        <family val="2"/>
        <scheme val="minor"/>
      </rPr>
      <t xml:space="preserve"> Urban tree soil</t>
    </r>
  </si>
  <si>
    <t>Internet seach for Amsterdam Tree Soil: £110 per 0.7L bag, including delivery. https://www.cpa-horticulture.co.uk/urban-tree-soil</t>
  </si>
  <si>
    <t>Cellular System (Based on GreenBlue RootSpace)</t>
  </si>
  <si>
    <t>Unit costs (per m3/m2 or per item)</t>
  </si>
  <si>
    <t>Approximate supply and installation for RootSpace and accessories</t>
  </si>
  <si>
    <t>per m3, Contractors</t>
  </si>
  <si>
    <t>RootSpace cell, geonets, and aeration inlets</t>
  </si>
  <si>
    <t>per m3, Contractors - average price but in reality very location dependant</t>
  </si>
  <si>
    <t>Soil</t>
  </si>
  <si>
    <t>per m3, Contractor</t>
  </si>
  <si>
    <t>Civil engineering / pit creation</t>
  </si>
  <si>
    <t>Creation - Standard tree pit creation in hard landscape</t>
  </si>
  <si>
    <t>Small (70cm X 70cm)</t>
  </si>
  <si>
    <t>Medium (100cm X 100cm)</t>
  </si>
  <si>
    <t>Large (150cm X 150cm)</t>
  </si>
  <si>
    <t>X-large (200cm X 200cm)</t>
  </si>
  <si>
    <t>Existing - Standard tree pit renovation in hard landscape</t>
  </si>
  <si>
    <t>Creation of a Buildout (NOT including the tree pit itself)</t>
  </si>
  <si>
    <t>Tree opening surface treatment for high footfall areas</t>
  </si>
  <si>
    <t>Ornamental tree grill</t>
  </si>
  <si>
    <t>Install rubber or aggregate, per m3</t>
  </si>
  <si>
    <t>Heavy duty tree guard</t>
  </si>
  <si>
    <t xml:space="preserve">Cellular sytem (BGU) </t>
  </si>
  <si>
    <t>MOT Type 3 no fines per m3</t>
  </si>
  <si>
    <t>Cells + membranes per m3</t>
  </si>
  <si>
    <t>Aeration inlet (each)</t>
  </si>
  <si>
    <t>Soil per m3</t>
  </si>
  <si>
    <t>Stockholm System</t>
  </si>
  <si>
    <t>Concrete planting frame: 4‐panel concrete planting frame (1.2m x 1.2m)</t>
  </si>
  <si>
    <t>Pre-mixed structural soil consisting of 32-63mm granite combined with 1:1 mix of biochar and compost (15% volume)</t>
  </si>
  <si>
    <t>Aeration well</t>
  </si>
  <si>
    <t>Crushed stone (40-75mm)</t>
  </si>
  <si>
    <t>PAS100 multi-purpose compost (7.5%)</t>
  </si>
  <si>
    <t>Enriched biochar (7.5%) per m3</t>
  </si>
  <si>
    <t>Terram membrane (3m2 per 1m3 of installation)</t>
  </si>
  <si>
    <t>10-12cm DBH rootballed/containerised</t>
  </si>
  <si>
    <t>16-18cm DBH rootballed/containerised</t>
  </si>
  <si>
    <t>18-20cm DBH rootballed/containerised</t>
  </si>
  <si>
    <t>20-25cm DBH rootballed/containerised</t>
  </si>
  <si>
    <t>Ground anchoring (instead of stakes) - rootballed/containerised</t>
  </si>
  <si>
    <t>Watering system</t>
  </si>
  <si>
    <t>Watering bag</t>
  </si>
  <si>
    <t>Watering Tube</t>
  </si>
  <si>
    <t>Total number of watering visits</t>
  </si>
  <si>
    <t>Total watering cost</t>
  </si>
  <si>
    <t>Nb of times when mulch is replenished over the first 3 years</t>
  </si>
  <si>
    <t>Cost of mulch reapplied around one young tree</t>
  </si>
  <si>
    <t>Inspection (1 visit)</t>
  </si>
  <si>
    <t>Small (up to 30cm DBH)</t>
  </si>
  <si>
    <t>Medium (30-60cm DBH)</t>
  </si>
  <si>
    <t>Large (60-90cm DBH)</t>
  </si>
  <si>
    <t>X-large (over 90cm DBH)</t>
  </si>
  <si>
    <t>Very small (0-15cm DBH)</t>
  </si>
  <si>
    <t>Small (15-30cm DBH)</t>
  </si>
  <si>
    <t xml:space="preserve">     </t>
  </si>
  <si>
    <t xml:space="preserve">Frequency of maintenance </t>
  </si>
  <si>
    <t>Per street tree every 3 year in safety inspection cost</t>
  </si>
  <si>
    <t>Per parks tree every 3 year in safety inspection cost</t>
  </si>
  <si>
    <t>Frequency of safety inspection costs</t>
  </si>
  <si>
    <t>7. End of life costs</t>
  </si>
  <si>
    <t>Tree felling in section</t>
  </si>
  <si>
    <t>Stump grinding to allow replanting</t>
  </si>
  <si>
    <t>Technical (Model Set-Up)</t>
  </si>
  <si>
    <t>Name Ranges</t>
  </si>
  <si>
    <t>AUTOMATIC</t>
  </si>
  <si>
    <t>Year Within Range</t>
  </si>
  <si>
    <t>Existing Tree Pit</t>
  </si>
  <si>
    <t>MANUAL</t>
  </si>
  <si>
    <t>Input sheet data</t>
  </si>
  <si>
    <t>New Tree Pit</t>
  </si>
  <si>
    <t>Cashflow Data</t>
  </si>
  <si>
    <t>No</t>
  </si>
  <si>
    <t>Source: https://knowledge.bsigroup.com/products/nursery-stock-specification-for-trees-and-shrubs</t>
  </si>
  <si>
    <t>Specification</t>
  </si>
  <si>
    <t>Tree Girth</t>
  </si>
  <si>
    <t>Tree size</t>
  </si>
  <si>
    <t>Light Standard (LS)</t>
  </si>
  <si>
    <t>6-8cm</t>
  </si>
  <si>
    <t>Standard (S)</t>
  </si>
  <si>
    <t>8-10cm</t>
  </si>
  <si>
    <t>Select Standard (SS)</t>
  </si>
  <si>
    <t>10-12cm</t>
  </si>
  <si>
    <t>Heavy Standard (HS)</t>
  </si>
  <si>
    <t>12-14cm</t>
  </si>
  <si>
    <t>Species Size</t>
  </si>
  <si>
    <t>Small</t>
  </si>
  <si>
    <t>Medium</t>
  </si>
  <si>
    <t>Large</t>
  </si>
  <si>
    <t>Species Name</t>
  </si>
  <si>
    <t>Latin Name</t>
  </si>
  <si>
    <t>Select Species</t>
  </si>
  <si>
    <t>Alder</t>
  </si>
  <si>
    <t>Alnus spp.</t>
  </si>
  <si>
    <t>Armand's pine</t>
  </si>
  <si>
    <t>Pinus armandii</t>
  </si>
  <si>
    <t>Ash</t>
  </si>
  <si>
    <t>Fraxinus excelsior</t>
  </si>
  <si>
    <t>Aspen</t>
  </si>
  <si>
    <t>Populus tremula</t>
  </si>
  <si>
    <t>Atlas cedar</t>
  </si>
  <si>
    <t>Cedrus atlantica</t>
  </si>
  <si>
    <t>Austrian pine</t>
  </si>
  <si>
    <t>Pinus nigra var nigra</t>
  </si>
  <si>
    <t>Beech</t>
  </si>
  <si>
    <t>Fagus sylvatica</t>
  </si>
  <si>
    <t>Bhutan pine</t>
  </si>
  <si>
    <t>Pinus wallichiana</t>
  </si>
  <si>
    <t>Big leaf maple</t>
  </si>
  <si>
    <t>Acer macrophyllum</t>
  </si>
  <si>
    <t xml:space="preserve">Birch (downy/silver) </t>
  </si>
  <si>
    <t>Betula spp.</t>
  </si>
  <si>
    <t>Bird cherry</t>
  </si>
  <si>
    <t>Prunus padus</t>
  </si>
  <si>
    <t>Bishop pine</t>
  </si>
  <si>
    <t>Pinus muricata</t>
  </si>
  <si>
    <t>Black poplar</t>
  </si>
  <si>
    <t>Populus nigra</t>
  </si>
  <si>
    <t>Black walnut</t>
  </si>
  <si>
    <t>Juglans nigra</t>
  </si>
  <si>
    <t>Blackthorn</t>
  </si>
  <si>
    <t>Prunus spinose</t>
  </si>
  <si>
    <t>Bornmuller's fir</t>
  </si>
  <si>
    <t>Abies bornmuelleriana</t>
  </si>
  <si>
    <t>Box</t>
  </si>
  <si>
    <t>Buxus spp.</t>
  </si>
  <si>
    <t>Calabrian pine</t>
  </si>
  <si>
    <t>Pinus brutia</t>
  </si>
  <si>
    <t>Cedar of Lebanon</t>
  </si>
  <si>
    <t>Cedrus libani</t>
  </si>
  <si>
    <t>Cider gum</t>
  </si>
  <si>
    <t>Eucalyptus gunnii</t>
  </si>
  <si>
    <t>Coast redwood</t>
  </si>
  <si>
    <t>Sequoia sempervirens</t>
  </si>
  <si>
    <t>Common alder</t>
  </si>
  <si>
    <t>Alnus glutinosa</t>
  </si>
  <si>
    <t>Common lime</t>
  </si>
  <si>
    <t>Tilia europea</t>
  </si>
  <si>
    <t>Common walnut</t>
  </si>
  <si>
    <t>Juglans regia</t>
  </si>
  <si>
    <t>Corsican pine</t>
  </si>
  <si>
    <t>Pinus nigra var maritima</t>
  </si>
  <si>
    <t>Crab apple</t>
  </si>
  <si>
    <t>Malus sylvestris</t>
  </si>
  <si>
    <t>Crack willow</t>
  </si>
  <si>
    <t>Salix fragilis</t>
  </si>
  <si>
    <t>Douglas fir</t>
  </si>
  <si>
    <t>Pseudotsuga menziesii</t>
  </si>
  <si>
    <t>Downy birch</t>
  </si>
  <si>
    <t>Betula pubescens</t>
  </si>
  <si>
    <t>Downy oak</t>
  </si>
  <si>
    <t>Quercus pubescens</t>
  </si>
  <si>
    <t>Elm</t>
  </si>
  <si>
    <t>Ulmus spp.</t>
  </si>
  <si>
    <t>English elm</t>
  </si>
  <si>
    <t>Ulmus procera</t>
  </si>
  <si>
    <t>European larch</t>
  </si>
  <si>
    <t>Larix decidua</t>
  </si>
  <si>
    <t>European silver fir</t>
  </si>
  <si>
    <t>Abies alba</t>
  </si>
  <si>
    <t>Field maple</t>
  </si>
  <si>
    <t>Acer campestre</t>
  </si>
  <si>
    <t>Goat willow</t>
  </si>
  <si>
    <t>Salix caprea</t>
  </si>
  <si>
    <t>Grand fir</t>
  </si>
  <si>
    <t>Abies grandis</t>
  </si>
  <si>
    <t>Grecian fir</t>
  </si>
  <si>
    <t>Abies cephalonica</t>
  </si>
  <si>
    <t>Green alder</t>
  </si>
  <si>
    <t>Alnus viridis</t>
  </si>
  <si>
    <t>Grey alder</t>
  </si>
  <si>
    <t>Alnus incana</t>
  </si>
  <si>
    <t>Grey poplar</t>
  </si>
  <si>
    <t>Populus canescens</t>
  </si>
  <si>
    <t>Grey willow</t>
  </si>
  <si>
    <t>Salix cinerea</t>
  </si>
  <si>
    <t>Hawthorn species</t>
  </si>
  <si>
    <t>Crataegus spp</t>
  </si>
  <si>
    <t>Hazel</t>
  </si>
  <si>
    <t>Corylus avellana</t>
  </si>
  <si>
    <t>Holly species</t>
  </si>
  <si>
    <t>Ilex spp.</t>
  </si>
  <si>
    <t>Holm oak</t>
  </si>
  <si>
    <t>Quercus ilex</t>
  </si>
  <si>
    <t>Hornbeam</t>
  </si>
  <si>
    <t>Carpinus betulus</t>
  </si>
  <si>
    <t>Horse chestnut</t>
  </si>
  <si>
    <t>Aesculus hippocastanum</t>
  </si>
  <si>
    <t>Hungarian oak</t>
  </si>
  <si>
    <t>Quercus frainetto</t>
  </si>
  <si>
    <t>Hybrid larch</t>
  </si>
  <si>
    <t>Larix x eurolepis</t>
  </si>
  <si>
    <t>Hybrid poplars</t>
  </si>
  <si>
    <t>Populus serotina/trichocarpa etc.</t>
  </si>
  <si>
    <t>Italian alder</t>
  </si>
  <si>
    <t>Alnus cordata</t>
  </si>
  <si>
    <t>Japanese cedar</t>
  </si>
  <si>
    <t>Cryptomeria japonica</t>
  </si>
  <si>
    <t>Japanese larch</t>
  </si>
  <si>
    <t>Larix kaempferi</t>
  </si>
  <si>
    <t>Korean pine</t>
  </si>
  <si>
    <t>Pinus koreana</t>
  </si>
  <si>
    <t>Large-leaved lime</t>
  </si>
  <si>
    <t>Tilia platyphyllos</t>
  </si>
  <si>
    <t>Lawson's cypress</t>
  </si>
  <si>
    <t>Chamaecyparis lawsoniana</t>
  </si>
  <si>
    <t>Lenga</t>
  </si>
  <si>
    <t>Nothofagus pumilio</t>
  </si>
  <si>
    <t>Leyland cypress</t>
  </si>
  <si>
    <t>Cupressocyparis leylandii</t>
  </si>
  <si>
    <t>Lime</t>
  </si>
  <si>
    <t>Tilia spp.</t>
  </si>
  <si>
    <t>Loblolly pine</t>
  </si>
  <si>
    <t>Pinus taeda</t>
  </si>
  <si>
    <t>Lodgepole pine</t>
  </si>
  <si>
    <t>Pinus contorta</t>
  </si>
  <si>
    <t>London plane</t>
  </si>
  <si>
    <r>
      <t xml:space="preserve">Platanus </t>
    </r>
    <r>
      <rPr>
        <sz val="12"/>
        <color rgb="FF000000"/>
        <rFont val="Calibri"/>
        <family val="2"/>
        <scheme val="minor"/>
      </rPr>
      <t>x</t>
    </r>
    <r>
      <rPr>
        <i/>
        <sz val="12"/>
        <color rgb="FF000000"/>
        <rFont val="Calibri"/>
        <family val="2"/>
        <scheme val="minor"/>
      </rPr>
      <t xml:space="preserve"> acerifolia</t>
    </r>
  </si>
  <si>
    <t>Macedonian pine</t>
  </si>
  <si>
    <t>Pinus peuce</t>
  </si>
  <si>
    <t>Maritime pine</t>
  </si>
  <si>
    <t>Pinus pinaster</t>
  </si>
  <si>
    <t>Mexican white pine</t>
  </si>
  <si>
    <t>Pinus ayacahuite</t>
  </si>
  <si>
    <t>Mixed broadleaves</t>
  </si>
  <si>
    <t>Mixed conifers</t>
  </si>
  <si>
    <t>Monterey pine</t>
  </si>
  <si>
    <t>Pinus radiata</t>
  </si>
  <si>
    <t>Mountain pine</t>
  </si>
  <si>
    <t>Pinus uncinata</t>
  </si>
  <si>
    <t>Narrow-leafed ash</t>
  </si>
  <si>
    <t>Fraxinus angustifolia</t>
  </si>
  <si>
    <t>Nat Regen - Mixed Broadleaves</t>
  </si>
  <si>
    <t>Nat Regen - Scots Pine</t>
  </si>
  <si>
    <t>Noble fir</t>
  </si>
  <si>
    <t>Abies procera</t>
  </si>
  <si>
    <t>Nordmann fir</t>
  </si>
  <si>
    <t>Abies nordmanniana</t>
  </si>
  <si>
    <t>Norway maple</t>
  </si>
  <si>
    <t>Acer platanoides</t>
  </si>
  <si>
    <t>Norway spruce</t>
  </si>
  <si>
    <t>Picea abies</t>
  </si>
  <si>
    <t xml:space="preserve">Oak (robur/petraea) </t>
  </si>
  <si>
    <t>Quercus spp.</t>
  </si>
  <si>
    <t>Oriental beech</t>
  </si>
  <si>
    <t>Fagus orientalis</t>
  </si>
  <si>
    <t>Oriental spruce</t>
  </si>
  <si>
    <t>Picea orientalis</t>
  </si>
  <si>
    <t>Other birches</t>
  </si>
  <si>
    <t>Other broadleaves</t>
  </si>
  <si>
    <t>Other Cedar</t>
  </si>
  <si>
    <t>Cedrus spp.</t>
  </si>
  <si>
    <t>Other cherry spp</t>
  </si>
  <si>
    <t>Prunus spp.</t>
  </si>
  <si>
    <t>Other conifers</t>
  </si>
  <si>
    <t>Other Eucalyptus</t>
  </si>
  <si>
    <t>Eucalyptus spp.</t>
  </si>
  <si>
    <t>Other firs (Abies)</t>
  </si>
  <si>
    <t>Abies spp.</t>
  </si>
  <si>
    <t>Other larches</t>
  </si>
  <si>
    <t>Larix spp.</t>
  </si>
  <si>
    <t>Other Nothofagus</t>
  </si>
  <si>
    <t>Nothofagus spp.</t>
  </si>
  <si>
    <t>Other oak spp</t>
  </si>
  <si>
    <t>Other pines</t>
  </si>
  <si>
    <t>Pinus spp.</t>
  </si>
  <si>
    <t>Other Poplar spp</t>
  </si>
  <si>
    <t>Populus spp.</t>
  </si>
  <si>
    <t>Other spruces</t>
  </si>
  <si>
    <t>Picea spp.</t>
  </si>
  <si>
    <t>Other walnut</t>
  </si>
  <si>
    <t>Juglans spp.</t>
  </si>
  <si>
    <t>Other willows</t>
  </si>
  <si>
    <t>Salix spp.</t>
  </si>
  <si>
    <t>Paper-bark birch</t>
  </si>
  <si>
    <t>Betula papyrifera</t>
  </si>
  <si>
    <t>Pedunculate/common oak</t>
  </si>
  <si>
    <t>Quercus robur</t>
  </si>
  <si>
    <t>Plane spp</t>
  </si>
  <si>
    <t>Platanus spp.</t>
  </si>
  <si>
    <t>Ponderosa pine</t>
  </si>
  <si>
    <t>Pinus ponderosa</t>
  </si>
  <si>
    <t>Pyrenean oak</t>
  </si>
  <si>
    <t>Quercus pyrenaica</t>
  </si>
  <si>
    <t>Raoul/rauli</t>
  </si>
  <si>
    <t>Nothofagus nervosa</t>
  </si>
  <si>
    <t>Red alder</t>
  </si>
  <si>
    <t>Alnus rubra</t>
  </si>
  <si>
    <t>Red ash</t>
  </si>
  <si>
    <t>Fraxinus pennsylvanica</t>
  </si>
  <si>
    <t>Red fir (pacific silver)</t>
  </si>
  <si>
    <t>Abies amabilis</t>
  </si>
  <si>
    <t>Red oak</t>
  </si>
  <si>
    <t>Quercus borealis</t>
  </si>
  <si>
    <t>Roble</t>
  </si>
  <si>
    <t>Nothofagus obliqua</t>
  </si>
  <si>
    <t>Rowan</t>
  </si>
  <si>
    <t>Sorbus aucuparia</t>
  </si>
  <si>
    <t>Scots pine</t>
  </si>
  <si>
    <t>Pinus sylvestris</t>
  </si>
  <si>
    <t>Serbian spruce</t>
  </si>
  <si>
    <t>Picea omorika</t>
  </si>
  <si>
    <t>Sessile oak</t>
  </si>
  <si>
    <t>Quercus petraea</t>
  </si>
  <si>
    <t>Shagbark hickory</t>
  </si>
  <si>
    <t>Carya ovata</t>
  </si>
  <si>
    <t>Shining gum</t>
  </si>
  <si>
    <t>Eucalyptus nitens</t>
  </si>
  <si>
    <t>Silver birch</t>
  </si>
  <si>
    <t>Betula pendula</t>
  </si>
  <si>
    <t>Silver maple</t>
  </si>
  <si>
    <t>Acer saccharinum</t>
  </si>
  <si>
    <t>Sitka spruce</t>
  </si>
  <si>
    <t>Picea sitchensis</t>
  </si>
  <si>
    <t>Slash pine</t>
  </si>
  <si>
    <t>Pinus ellottii</t>
  </si>
  <si>
    <t>Small-leaved lime</t>
  </si>
  <si>
    <t>Tilia cordata</t>
  </si>
  <si>
    <t>Smooth-leaved elm</t>
  </si>
  <si>
    <t>Ulmus carpinifolia</t>
  </si>
  <si>
    <t>Sweet chestnut</t>
  </si>
  <si>
    <t>Castanea sativa</t>
  </si>
  <si>
    <t>Sycamore</t>
  </si>
  <si>
    <t>Acer pseudoplatanus</t>
  </si>
  <si>
    <t>Tulip tree</t>
  </si>
  <si>
    <t>Liriodendron tulipifera</t>
  </si>
  <si>
    <t>Turkey oak</t>
  </si>
  <si>
    <t>Quercus cerris</t>
  </si>
  <si>
    <t>Wellingtonia</t>
  </si>
  <si>
    <t>Sequoiadendron giganteum</t>
  </si>
  <si>
    <t>Western hemlock</t>
  </si>
  <si>
    <t>Tsuga heterophylla</t>
  </si>
  <si>
    <t>Western red cedar</t>
  </si>
  <si>
    <t>Thuja plicata</t>
  </si>
  <si>
    <t>Western white pine</t>
  </si>
  <si>
    <t>Pinus monticola</t>
  </si>
  <si>
    <t>Weymouth pine</t>
  </si>
  <si>
    <t>Pinus strobus</t>
  </si>
  <si>
    <t>White ash</t>
  </si>
  <si>
    <t>Fraxinus Americana</t>
  </si>
  <si>
    <t>White oak</t>
  </si>
  <si>
    <t>Quercus alba</t>
  </si>
  <si>
    <t>White poplar</t>
  </si>
  <si>
    <t>Populus alba</t>
  </si>
  <si>
    <t>White willow</t>
  </si>
  <si>
    <t>Salix alba</t>
  </si>
  <si>
    <t>Whitebeam</t>
  </si>
  <si>
    <t>Sorbus aria</t>
  </si>
  <si>
    <t>Wild cherry, gean</t>
  </si>
  <si>
    <t>Prunus avium</t>
  </si>
  <si>
    <t>Wild service tree</t>
  </si>
  <si>
    <t>Sorbus torminalis</t>
  </si>
  <si>
    <t>Wych elm</t>
  </si>
  <si>
    <t>Ulmus glabra</t>
  </si>
  <si>
    <t>Yew</t>
  </si>
  <si>
    <t>Taxus baccata</t>
  </si>
  <si>
    <t>Yunnan pine</t>
  </si>
  <si>
    <t>Pinus yunnanensis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</si>
</sst>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
    <numFmt numFmtId="165" formatCode="&quot;Year &quot;0"/>
    <numFmt numFmtId="166" formatCode="&quot;£&quot;#,##0;\(&quot;£&quot;#,##0\)"/>
    <numFmt numFmtId="167" formatCode="&quot;£&quot;#,##0;\(&quot;£&quot;#,##0\);&quot; - &quot;"/>
    <numFmt numFmtId="168" formatCode="&quot;£&quot;#,##0.00"/>
    <numFmt numFmtId="169" formatCode="0.0%"/>
    <numFmt numFmtId="170" formatCode="_-* #,##0_-;\-* #,##0_-;_-* &quot;-&quot;??_-;_-@_-"/>
    <numFmt numFmtId="171" formatCode="&quot;Year&quot;\ 0"/>
    <numFmt numFmtId="172" formatCode="###0;\(###0\);&quot; - &quot;"/>
    <numFmt numFmtId="173" formatCode="0\ &quot;m3&quot;"/>
    <numFmt numFmtId="174" formatCode="0.000"/>
    <numFmt numFmtId="175" formatCode="0\ &quot;tree(s)&quot;"/>
    <numFmt numFmtId="176" formatCode="&quot;Year&quot;\ #"/>
    <numFmt numFmtId="177" formatCode="#\ &quot;Year(s)&quot;\ "/>
    <numFmt numFmtId="178" formatCode="0\ &quot;day(s)&quot;"/>
    <numFmt numFmtId="179" formatCode="#\ &quot;Hour(s)&quot;"/>
    <numFmt numFmtId="180" formatCode="0\ &quot;visit(s)&quot;"/>
    <numFmt numFmtId="181" formatCode="&quot;Year&quot;\ #\ 0"/>
    <numFmt numFmtId="182" formatCode="&quot;Year&quot;\ #0"/>
    <numFmt numFmtId="183" formatCode="&quot;£&quot;#,##0.0"/>
  </numFmts>
  <fonts count="6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1"/>
      <color rgb="FF0000FF"/>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sz val="11"/>
      <color theme="1"/>
      <name val="Calibri"/>
      <family val="2"/>
      <scheme val="minor"/>
    </font>
    <font>
      <sz val="10"/>
      <color theme="1"/>
      <name val="Arial"/>
      <family val="2"/>
    </font>
    <font>
      <sz val="10"/>
      <name val="Verdana"/>
      <family val="2"/>
    </font>
    <font>
      <u/>
      <sz val="10"/>
      <color theme="10"/>
      <name val="Arial"/>
      <family val="2"/>
    </font>
    <font>
      <vertAlign val="superscript"/>
      <sz val="12"/>
      <color theme="1"/>
      <name val="Calibri"/>
      <family val="2"/>
      <scheme val="minor"/>
    </font>
    <font>
      <i/>
      <sz val="11"/>
      <color theme="1"/>
      <name val="Calibri"/>
      <family val="2"/>
      <scheme val="minor"/>
    </font>
    <font>
      <sz val="8"/>
      <name val="Calibri"/>
      <family val="2"/>
      <scheme val="minor"/>
    </font>
    <font>
      <sz val="11"/>
      <name val="Calibri"/>
      <family val="2"/>
      <scheme val="minor"/>
    </font>
    <font>
      <b/>
      <sz val="11"/>
      <name val="Calibri"/>
      <family val="2"/>
      <scheme val="minor"/>
    </font>
    <font>
      <sz val="8"/>
      <color rgb="FF000000"/>
      <name val="Segoe UI"/>
      <family val="2"/>
    </font>
    <font>
      <vertAlign val="superscript"/>
      <sz val="12"/>
      <color theme="1"/>
      <name val="Calibri"/>
      <family val="2"/>
    </font>
    <font>
      <sz val="12"/>
      <name val="Calibri"/>
      <family val="2"/>
      <scheme val="minor"/>
    </font>
    <font>
      <vertAlign val="superscript"/>
      <sz val="12"/>
      <name val="Calibri"/>
      <family val="2"/>
      <scheme val="minor"/>
    </font>
    <font>
      <vertAlign val="superscript"/>
      <sz val="11"/>
      <color theme="1"/>
      <name val="Calibri"/>
      <family val="2"/>
    </font>
    <font>
      <b/>
      <sz val="20"/>
      <color rgb="FF003366"/>
      <name val="Arial"/>
      <family val="2"/>
    </font>
    <font>
      <b/>
      <sz val="14"/>
      <color rgb="FF0071CE"/>
      <name val="Arial"/>
      <family val="2"/>
    </font>
    <font>
      <sz val="18"/>
      <color rgb="FF0071CE"/>
      <name val="Arial"/>
      <family val="2"/>
    </font>
    <font>
      <b/>
      <sz val="20"/>
      <color theme="0"/>
      <name val="Calibri"/>
      <family val="2"/>
      <scheme val="minor"/>
    </font>
    <font>
      <b/>
      <sz val="20"/>
      <color theme="4"/>
      <name val="Arial"/>
      <family val="2"/>
    </font>
    <font>
      <b/>
      <sz val="11"/>
      <color theme="9" tint="-0.499984740745262"/>
      <name val="Calibri"/>
      <family val="2"/>
      <scheme val="minor"/>
    </font>
    <font>
      <b/>
      <i/>
      <u/>
      <sz val="9"/>
      <color theme="1"/>
      <name val="Calibri"/>
      <family val="2"/>
      <scheme val="minor"/>
    </font>
    <font>
      <sz val="9"/>
      <color theme="1"/>
      <name val="Calibri"/>
      <family val="2"/>
      <scheme val="minor"/>
    </font>
    <font>
      <b/>
      <sz val="9"/>
      <color theme="1"/>
      <name val="Calibri"/>
      <family val="2"/>
      <scheme val="minor"/>
    </font>
    <font>
      <i/>
      <sz val="9"/>
      <name val="Calibri"/>
      <family val="2"/>
      <scheme val="minor"/>
    </font>
    <font>
      <sz val="9"/>
      <color rgb="FF0000FF"/>
      <name val="Calibri"/>
      <family val="2"/>
      <scheme val="minor"/>
    </font>
    <font>
      <b/>
      <i/>
      <sz val="9"/>
      <name val="Calibri"/>
      <family val="2"/>
      <scheme val="minor"/>
    </font>
    <font>
      <b/>
      <u/>
      <sz val="9"/>
      <color theme="1"/>
      <name val="Calibri"/>
      <family val="2"/>
      <scheme val="minor"/>
    </font>
    <font>
      <b/>
      <sz val="14"/>
      <color theme="0"/>
      <name val="Gill Sans MT"/>
      <family val="2"/>
    </font>
    <font>
      <i/>
      <sz val="14"/>
      <color theme="1"/>
      <name val="Calibri"/>
      <family val="2"/>
      <scheme val="minor"/>
    </font>
    <font>
      <b/>
      <i/>
      <sz val="11"/>
      <color theme="1"/>
      <name val="Calibri"/>
      <family val="2"/>
      <scheme val="minor"/>
    </font>
    <font>
      <u/>
      <sz val="11"/>
      <color theme="1"/>
      <name val="Calibri"/>
      <family val="2"/>
      <scheme val="minor"/>
    </font>
    <font>
      <b/>
      <sz val="18"/>
      <color theme="1"/>
      <name val="Calibri"/>
      <family val="2"/>
      <scheme val="minor"/>
    </font>
    <font>
      <sz val="14"/>
      <color theme="1"/>
      <name val="Calibri"/>
      <family val="2"/>
      <scheme val="minor"/>
    </font>
    <font>
      <b/>
      <sz val="11"/>
      <color rgb="FF375623"/>
      <name val="Calibri"/>
      <family val="2"/>
      <scheme val="minor"/>
    </font>
    <font>
      <b/>
      <sz val="11"/>
      <color theme="1"/>
      <name val="Calibri"/>
      <family val="2"/>
    </font>
    <font>
      <b/>
      <u/>
      <sz val="11"/>
      <color theme="1"/>
      <name val="Calibri"/>
      <family val="2"/>
    </font>
    <font>
      <sz val="11"/>
      <color rgb="FFFF0000"/>
      <name val="Calibri"/>
      <family val="2"/>
      <scheme val="minor"/>
    </font>
    <font>
      <b/>
      <sz val="18"/>
      <color theme="9"/>
      <name val="Calibri"/>
      <family val="2"/>
      <scheme val="minor"/>
    </font>
    <font>
      <sz val="11"/>
      <color rgb="FF242424"/>
      <name val="Aptos"/>
      <family val="2"/>
    </font>
    <font>
      <b/>
      <sz val="20"/>
      <color theme="1"/>
      <name val="Calibri"/>
      <family val="2"/>
      <scheme val="minor"/>
    </font>
    <font>
      <b/>
      <sz val="16"/>
      <color theme="0"/>
      <name val="Calibri"/>
      <family val="2"/>
      <scheme val="minor"/>
    </font>
    <font>
      <sz val="16"/>
      <color theme="1"/>
      <name val="Calibri"/>
      <family val="2"/>
      <scheme val="minor"/>
    </font>
    <font>
      <i/>
      <u/>
      <sz val="11"/>
      <color theme="1"/>
      <name val="Calibri"/>
      <family val="2"/>
      <scheme val="minor"/>
    </font>
    <font>
      <sz val="11"/>
      <color theme="0"/>
      <name val="Calibri"/>
      <family val="2"/>
      <scheme val="minor"/>
    </font>
    <font>
      <b/>
      <sz val="18"/>
      <color theme="0"/>
      <name val="Calibri"/>
      <family val="2"/>
      <scheme val="minor"/>
    </font>
    <font>
      <b/>
      <sz val="16"/>
      <color theme="2" tint="-0.499984740745262"/>
      <name val="Calibri"/>
      <family val="2"/>
      <scheme val="minor"/>
    </font>
    <font>
      <b/>
      <sz val="20"/>
      <color theme="4"/>
      <name val="Calibri"/>
      <family val="2"/>
      <scheme val="minor"/>
    </font>
    <font>
      <b/>
      <sz val="20"/>
      <color rgb="FF003366"/>
      <name val="Calibri"/>
      <family val="2"/>
      <scheme val="minor"/>
    </font>
    <font>
      <b/>
      <sz val="14"/>
      <color theme="5"/>
      <name val="Calibri"/>
      <family val="2"/>
      <scheme val="minor"/>
    </font>
    <font>
      <b/>
      <sz val="10"/>
      <name val="Calibri"/>
      <family val="2"/>
      <scheme val="minor"/>
    </font>
    <font>
      <sz val="12"/>
      <color rgb="FF000000"/>
      <name val="Calibri"/>
      <family val="2"/>
      <scheme val="minor"/>
    </font>
    <font>
      <i/>
      <sz val="12"/>
      <color rgb="FF000000"/>
      <name val="Calibri"/>
      <family val="2"/>
      <scheme val="minor"/>
    </font>
    <font>
      <u/>
      <sz val="11"/>
      <color theme="10"/>
      <name val="Calibri"/>
      <family val="2"/>
      <scheme val="minor"/>
    </font>
  </fonts>
  <fills count="37">
    <fill>
      <patternFill patternType="none"/>
    </fill>
    <fill>
      <patternFill patternType="gray125"/>
    </fill>
    <fill>
      <patternFill patternType="solid">
        <fgColor theme="8" tint="0.79998168889431442"/>
        <bgColor indexed="64"/>
      </patternFill>
    </fill>
    <fill>
      <patternFill patternType="solid">
        <fgColor rgb="FF1E243A"/>
        <bgColor indexed="64"/>
      </patternFill>
    </fill>
    <fill>
      <patternFill patternType="solid">
        <fgColor theme="0" tint="-0.499984740745262"/>
        <bgColor indexed="64"/>
      </patternFill>
    </fill>
    <fill>
      <patternFill patternType="solid">
        <fgColor theme="0"/>
        <bgColor indexed="64"/>
      </patternFill>
    </fill>
    <fill>
      <patternFill patternType="solid">
        <fgColor theme="1"/>
        <bgColor indexed="64"/>
      </patternFill>
    </fill>
    <fill>
      <patternFill patternType="solid">
        <fgColor rgb="FFDDEBF7"/>
        <bgColor rgb="FF000000"/>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E69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rgb="FF000000"/>
      </patternFill>
    </fill>
    <fill>
      <patternFill patternType="solid">
        <fgColor rgb="FFF5FBE1"/>
        <bgColor indexed="64"/>
      </patternFill>
    </fill>
    <fill>
      <patternFill patternType="solid">
        <fgColor theme="9" tint="0.79998168889431442"/>
        <bgColor rgb="FF000000"/>
      </patternFill>
    </fill>
    <fill>
      <patternFill patternType="solid">
        <fgColor rgb="FFFFB8A7"/>
        <bgColor indexed="64"/>
      </patternFill>
    </fill>
    <fill>
      <patternFill patternType="solid">
        <fgColor rgb="FF7030A0"/>
        <bgColor indexed="64"/>
      </patternFill>
    </fill>
    <fill>
      <patternFill patternType="solid">
        <fgColor rgb="FFE2CFF1"/>
        <bgColor indexed="64"/>
      </patternFill>
    </fill>
    <fill>
      <patternFill patternType="solid">
        <fgColor theme="6" tint="0.79998168889431442"/>
        <bgColor indexed="64"/>
      </patternFill>
    </fill>
    <fill>
      <patternFill patternType="solid">
        <fgColor theme="5"/>
        <bgColor indexed="64"/>
      </patternFill>
    </fill>
    <fill>
      <patternFill patternType="solid">
        <fgColor theme="6" tint="0.59999389629810485"/>
        <bgColor indexed="64"/>
      </patternFill>
    </fill>
    <fill>
      <patternFill patternType="solid">
        <fgColor theme="2"/>
        <bgColor rgb="FF000000"/>
      </patternFill>
    </fill>
    <fill>
      <patternFill patternType="solid">
        <fgColor rgb="FFDDEBF7"/>
        <bgColor theme="4"/>
      </patternFill>
    </fill>
    <fill>
      <patternFill patternType="solid">
        <fgColor theme="9" tint="0.79995117038483843"/>
        <bgColor theme="9"/>
      </patternFill>
    </fill>
    <fill>
      <patternFill patternType="solid">
        <fgColor indexed="65"/>
        <bgColor indexed="64"/>
      </patternFill>
    </fill>
    <fill>
      <patternFill patternType="solid">
        <fgColor rgb="FFDDEBF7"/>
        <bgColor theme="8"/>
      </patternFill>
    </fill>
    <fill>
      <patternFill patternType="solid">
        <fgColor theme="8" tint="0.79998168889431442"/>
        <bgColor theme="8"/>
      </patternFill>
    </fill>
    <fill>
      <patternFill patternType="solid">
        <fgColor rgb="FFDDEBF7"/>
        <bgColor theme="4" tint="0.39994506668294322"/>
      </patternFill>
    </fill>
    <fill>
      <patternFill patternType="solid">
        <fgColor theme="9" tint="0.79998168889431442"/>
        <bgColor theme="9"/>
      </patternFill>
    </fill>
    <fill>
      <patternFill patternType="solid">
        <fgColor theme="9" tint="0.79998168889431442"/>
        <bgColor theme="4"/>
      </patternFill>
    </fill>
    <fill>
      <patternFill patternType="solid">
        <fgColor theme="2" tint="-0.249977111117893"/>
        <bgColor indexed="64"/>
      </patternFill>
    </fill>
    <fill>
      <patternFill patternType="solid">
        <fgColor theme="9" tint="0.79998168889431442"/>
        <bgColor theme="4" tint="0.39991454817346722"/>
      </patternFill>
    </fill>
    <fill>
      <patternFill patternType="solid">
        <fgColor theme="9" tint="0.79998168889431442"/>
        <bgColor theme="4" tint="0.39994506668294322"/>
      </patternFill>
    </fill>
    <fill>
      <patternFill patternType="solid">
        <fgColor rgb="FFFFFF00"/>
        <bgColor indexed="64"/>
      </patternFill>
    </fill>
    <fill>
      <patternFill patternType="solid">
        <fgColor theme="7" tint="0.79998168889431442"/>
        <bgColor theme="4" tint="0.39994506668294322"/>
      </patternFill>
    </fill>
  </fills>
  <borders count="55">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theme="1"/>
      </bottom>
      <diagonal/>
    </border>
    <border>
      <left/>
      <right/>
      <top/>
      <bottom style="medium">
        <color rgb="FF78787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medium">
        <color indexed="64"/>
      </top>
      <bottom style="medium">
        <color indexed="64"/>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s>
  <cellStyleXfs count="56">
    <xf numFmtId="0" fontId="0" fillId="0" borderId="0"/>
    <xf numFmtId="0" fontId="3" fillId="0" borderId="0" applyFont="0"/>
    <xf numFmtId="0" fontId="5" fillId="0" borderId="0"/>
    <xf numFmtId="0" fontId="9" fillId="0" borderId="0"/>
    <xf numFmtId="0" fontId="10" fillId="0" borderId="0"/>
    <xf numFmtId="43" fontId="8" fillId="0" borderId="0" applyFont="0" applyFill="0" applyBorder="0" applyAlignment="0" applyProtection="0"/>
    <xf numFmtId="44" fontId="8" fillId="0" borderId="0" applyFont="0" applyFill="0" applyBorder="0" applyAlignment="0" applyProtection="0"/>
    <xf numFmtId="0" fontId="11" fillId="0" borderId="0" applyNumberFormat="0" applyFill="0" applyBorder="0" applyAlignment="0" applyProtection="0">
      <alignment vertical="top"/>
      <protection locked="0"/>
    </xf>
    <xf numFmtId="9" fontId="8" fillId="0" borderId="0" applyFont="0" applyFill="0" applyBorder="0" applyAlignment="0" applyProtection="0"/>
    <xf numFmtId="0" fontId="3" fillId="0" borderId="0"/>
    <xf numFmtId="43" fontId="8"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0" fontId="22" fillId="13" borderId="21" applyNumberFormat="0">
      <alignment horizontal="left" indent="1"/>
    </xf>
    <xf numFmtId="0" fontId="23" fillId="0" borderId="0" applyNumberFormat="0" applyFill="0" applyBorder="0" applyAlignment="0"/>
    <xf numFmtId="0" fontId="24" fillId="0" borderId="22" applyNumberFormat="0" applyAlignment="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0" fillId="0" borderId="0"/>
    <xf numFmtId="0" fontId="60" fillId="0" borderId="0" applyNumberFormat="0" applyFill="0" applyBorder="0" applyAlignment="0" applyProtection="0"/>
  </cellStyleXfs>
  <cellXfs count="481">
    <xf numFmtId="0" fontId="0" fillId="0" borderId="0" xfId="0"/>
    <xf numFmtId="0" fontId="5" fillId="0" borderId="0" xfId="2" applyAlignment="1">
      <alignment vertical="center" wrapText="1"/>
    </xf>
    <xf numFmtId="0" fontId="6" fillId="0" borderId="0" xfId="2" applyFont="1" applyAlignment="1">
      <alignment vertical="center" wrapText="1"/>
    </xf>
    <xf numFmtId="0" fontId="2" fillId="0" borderId="0" xfId="0" applyFont="1"/>
    <xf numFmtId="0" fontId="1" fillId="6" borderId="0" xfId="0" applyFont="1" applyFill="1"/>
    <xf numFmtId="166" fontId="0" fillId="0" borderId="0" xfId="0" applyNumberFormat="1"/>
    <xf numFmtId="166" fontId="0" fillId="12" borderId="0" xfId="0" applyNumberFormat="1" applyFill="1"/>
    <xf numFmtId="167" fontId="0" fillId="0" borderId="0" xfId="0" applyNumberFormat="1"/>
    <xf numFmtId="165" fontId="1" fillId="6" borderId="16" xfId="0" applyNumberFormat="1" applyFont="1" applyFill="1" applyBorder="1" applyAlignment="1">
      <alignment horizontal="center"/>
    </xf>
    <xf numFmtId="0" fontId="0" fillId="0" borderId="4" xfId="0" applyBorder="1"/>
    <xf numFmtId="0" fontId="6" fillId="0" borderId="0" xfId="2" applyFont="1" applyAlignment="1">
      <alignment vertical="center"/>
    </xf>
    <xf numFmtId="0" fontId="6" fillId="0" borderId="20" xfId="2" applyFont="1" applyBorder="1" applyAlignment="1">
      <alignment vertical="center" wrapText="1"/>
    </xf>
    <xf numFmtId="167" fontId="2" fillId="11" borderId="0" xfId="0" applyNumberFormat="1" applyFont="1" applyFill="1"/>
    <xf numFmtId="0" fontId="2" fillId="12" borderId="0" xfId="0" applyFont="1" applyFill="1"/>
    <xf numFmtId="0" fontId="0" fillId="0" borderId="0" xfId="0" applyAlignment="1">
      <alignment horizontal="left" indent="1"/>
    </xf>
    <xf numFmtId="0" fontId="2" fillId="11" borderId="0" xfId="0" applyFont="1" applyFill="1"/>
    <xf numFmtId="166" fontId="2" fillId="11" borderId="0" xfId="0" applyNumberFormat="1" applyFont="1" applyFill="1"/>
    <xf numFmtId="0" fontId="0" fillId="0" borderId="16" xfId="0" applyBorder="1"/>
    <xf numFmtId="0" fontId="2" fillId="12" borderId="15" xfId="0" applyFont="1" applyFill="1" applyBorder="1" applyAlignment="1">
      <alignment horizontal="center"/>
    </xf>
    <xf numFmtId="0" fontId="2" fillId="12" borderId="4" xfId="0" applyFont="1" applyFill="1" applyBorder="1" applyAlignment="1">
      <alignment horizontal="center"/>
    </xf>
    <xf numFmtId="0" fontId="0" fillId="5" borderId="4" xfId="0" applyFill="1" applyBorder="1" applyAlignment="1">
      <alignment horizontal="left" vertical="center" wrapText="1"/>
    </xf>
    <xf numFmtId="0" fontId="0" fillId="6" borderId="0" xfId="0" applyFill="1"/>
    <xf numFmtId="0" fontId="13" fillId="0" borderId="0" xfId="0" applyFont="1"/>
    <xf numFmtId="0" fontId="0" fillId="0" borderId="0" xfId="0" applyAlignment="1">
      <alignment horizontal="right"/>
    </xf>
    <xf numFmtId="0" fontId="2" fillId="12" borderId="15" xfId="0" applyFont="1" applyFill="1" applyBorder="1" applyAlignment="1">
      <alignment horizontal="center" vertical="center" wrapText="1"/>
    </xf>
    <xf numFmtId="0" fontId="2" fillId="12" borderId="4" xfId="0" applyFont="1" applyFill="1" applyBorder="1" applyAlignment="1">
      <alignment horizontal="center" vertical="center" wrapText="1"/>
    </xf>
    <xf numFmtId="164" fontId="15" fillId="14" borderId="4" xfId="10" applyNumberFormat="1" applyFont="1" applyFill="1" applyBorder="1" applyAlignment="1">
      <alignment horizontal="center" vertical="center"/>
    </xf>
    <xf numFmtId="0" fontId="2" fillId="12" borderId="4" xfId="0" applyFont="1" applyFill="1" applyBorder="1" applyAlignment="1">
      <alignment horizontal="center" vertical="center"/>
    </xf>
    <xf numFmtId="0" fontId="2" fillId="12" borderId="19" xfId="0" applyFont="1" applyFill="1" applyBorder="1" applyAlignment="1">
      <alignment horizontal="center" vertical="center"/>
    </xf>
    <xf numFmtId="0" fontId="0" fillId="0" borderId="0" xfId="0" applyAlignment="1">
      <alignment horizontal="left"/>
    </xf>
    <xf numFmtId="164" fontId="0" fillId="9" borderId="4" xfId="0" applyNumberFormat="1" applyFill="1" applyBorder="1" applyAlignment="1">
      <alignment horizontal="center" vertical="center"/>
    </xf>
    <xf numFmtId="0" fontId="2" fillId="12" borderId="15" xfId="0" applyFont="1" applyFill="1" applyBorder="1" applyAlignment="1">
      <alignment horizontal="center" vertical="center"/>
    </xf>
    <xf numFmtId="0" fontId="1" fillId="6" borderId="16" xfId="0" applyFont="1" applyFill="1" applyBorder="1"/>
    <xf numFmtId="166" fontId="0" fillId="0" borderId="16" xfId="0" applyNumberFormat="1" applyBorder="1"/>
    <xf numFmtId="167" fontId="0" fillId="0" borderId="16" xfId="0" applyNumberFormat="1" applyBorder="1"/>
    <xf numFmtId="170" fontId="0" fillId="0" borderId="16" xfId="10" applyNumberFormat="1" applyFont="1" applyBorder="1" applyAlignment="1">
      <alignment vertical="center"/>
    </xf>
    <xf numFmtId="166" fontId="0" fillId="0" borderId="0" xfId="0" applyNumberFormat="1" applyAlignment="1">
      <alignment horizontal="right" vertical="center"/>
    </xf>
    <xf numFmtId="0" fontId="0" fillId="9" borderId="4" xfId="0" applyFill="1" applyBorder="1" applyAlignment="1">
      <alignment horizontal="center" vertical="center"/>
    </xf>
    <xf numFmtId="0" fontId="0" fillId="5" borderId="13" xfId="0" applyFill="1" applyBorder="1" applyAlignment="1">
      <alignment horizontal="left" vertical="center" wrapText="1"/>
    </xf>
    <xf numFmtId="0" fontId="0" fillId="15" borderId="4" xfId="0" applyFill="1" applyBorder="1" applyAlignment="1">
      <alignment horizontal="center"/>
    </xf>
    <xf numFmtId="0" fontId="0" fillId="0" borderId="4" xfId="0" applyBorder="1" applyAlignment="1">
      <alignment horizontal="center"/>
    </xf>
    <xf numFmtId="166" fontId="0" fillId="0" borderId="0" xfId="0" applyNumberFormat="1" applyAlignment="1">
      <alignment horizontal="right"/>
    </xf>
    <xf numFmtId="167" fontId="0" fillId="0" borderId="0" xfId="0" applyNumberFormat="1" applyAlignment="1">
      <alignment horizontal="right"/>
    </xf>
    <xf numFmtId="171" fontId="1" fillId="6" borderId="0" xfId="0" applyNumberFormat="1" applyFont="1" applyFill="1" applyAlignment="1">
      <alignment horizontal="right"/>
    </xf>
    <xf numFmtId="164" fontId="0" fillId="15" borderId="4" xfId="0" applyNumberFormat="1" applyFill="1" applyBorder="1" applyAlignment="1">
      <alignment horizontal="center" vertical="center"/>
    </xf>
    <xf numFmtId="0" fontId="1" fillId="6" borderId="0" xfId="0" applyFont="1" applyFill="1" applyAlignment="1">
      <alignment horizontal="center"/>
    </xf>
    <xf numFmtId="172" fontId="1" fillId="6" borderId="0" xfId="0" applyNumberFormat="1" applyFont="1" applyFill="1" applyAlignment="1">
      <alignment horizontal="right"/>
    </xf>
    <xf numFmtId="0" fontId="0" fillId="0" borderId="4" xfId="0" applyBorder="1" applyAlignment="1">
      <alignment horizontal="left"/>
    </xf>
    <xf numFmtId="0" fontId="0" fillId="5" borderId="0" xfId="0" applyFill="1" applyAlignment="1">
      <alignment horizontal="left" vertical="center" wrapText="1"/>
    </xf>
    <xf numFmtId="0" fontId="2" fillId="5" borderId="4" xfId="0" applyFont="1" applyFill="1" applyBorder="1" applyAlignment="1">
      <alignment horizontal="left" vertical="center" wrapText="1"/>
    </xf>
    <xf numFmtId="174" fontId="0" fillId="0" borderId="0" xfId="0" applyNumberFormat="1" applyAlignment="1">
      <alignment horizontal="right"/>
    </xf>
    <xf numFmtId="41" fontId="0" fillId="0" borderId="0" xfId="11" applyFont="1" applyAlignment="1">
      <alignment horizontal="right"/>
    </xf>
    <xf numFmtId="42" fontId="0" fillId="0" borderId="16" xfId="12" applyFont="1" applyBorder="1" applyAlignment="1">
      <alignment horizontal="right" vertical="center"/>
    </xf>
    <xf numFmtId="42" fontId="0" fillId="0" borderId="16" xfId="12" applyFont="1" applyBorder="1" applyAlignment="1">
      <alignment vertical="center"/>
    </xf>
    <xf numFmtId="41" fontId="0" fillId="0" borderId="0" xfId="11" applyFont="1" applyAlignment="1">
      <alignment horizontal="right" vertical="center"/>
    </xf>
    <xf numFmtId="41" fontId="4" fillId="7" borderId="0" xfId="11" applyFont="1" applyFill="1" applyAlignment="1">
      <alignment horizontal="center" vertical="center"/>
    </xf>
    <xf numFmtId="0" fontId="0" fillId="0" borderId="4" xfId="0" applyBorder="1" applyAlignment="1">
      <alignment vertical="center"/>
    </xf>
    <xf numFmtId="0" fontId="5" fillId="0" borderId="0" xfId="0" applyFont="1" applyAlignment="1">
      <alignment horizontal="left"/>
    </xf>
    <xf numFmtId="164" fontId="15" fillId="14" borderId="13" xfId="10" applyNumberFormat="1" applyFont="1" applyFill="1" applyBorder="1" applyAlignment="1">
      <alignment horizontal="center" vertical="center"/>
    </xf>
    <xf numFmtId="0" fontId="2" fillId="12" borderId="14" xfId="0" applyFont="1" applyFill="1" applyBorder="1" applyAlignment="1">
      <alignment horizontal="center" vertical="center" wrapText="1"/>
    </xf>
    <xf numFmtId="0" fontId="5" fillId="0" borderId="0" xfId="0" applyFont="1" applyAlignment="1">
      <alignment vertical="center"/>
    </xf>
    <xf numFmtId="0" fontId="16" fillId="17" borderId="0" xfId="0" applyFont="1" applyFill="1" applyAlignment="1">
      <alignment vertical="center" textRotation="90"/>
    </xf>
    <xf numFmtId="0" fontId="22" fillId="13" borderId="21" xfId="18">
      <alignment horizontal="left" indent="1"/>
    </xf>
    <xf numFmtId="0" fontId="5" fillId="0" borderId="4" xfId="2" applyBorder="1" applyAlignment="1">
      <alignment vertical="center" wrapText="1"/>
    </xf>
    <xf numFmtId="0" fontId="5" fillId="0" borderId="4" xfId="2" applyBorder="1" applyAlignment="1">
      <alignment vertical="center"/>
    </xf>
    <xf numFmtId="0" fontId="1" fillId="18" borderId="17" xfId="0" applyFont="1" applyFill="1" applyBorder="1" applyAlignment="1">
      <alignment vertical="center"/>
    </xf>
    <xf numFmtId="0" fontId="1" fillId="21" borderId="0" xfId="0" applyFont="1" applyFill="1" applyAlignment="1">
      <alignment vertical="center"/>
    </xf>
    <xf numFmtId="0" fontId="26" fillId="13" borderId="21" xfId="18" applyFont="1">
      <alignment horizontal="left" indent="1"/>
    </xf>
    <xf numFmtId="0" fontId="6" fillId="0" borderId="4" xfId="2" applyFont="1" applyBorder="1" applyAlignment="1">
      <alignment horizontal="center" vertical="center" wrapText="1"/>
    </xf>
    <xf numFmtId="0" fontId="5" fillId="0" borderId="4" xfId="2" applyBorder="1" applyAlignment="1">
      <alignment horizontal="right" vertical="center" wrapText="1"/>
    </xf>
    <xf numFmtId="0" fontId="2" fillId="22" borderId="4" xfId="0" applyFont="1" applyFill="1" applyBorder="1" applyAlignment="1">
      <alignment horizontal="center" vertical="center"/>
    </xf>
    <xf numFmtId="167" fontId="27" fillId="16" borderId="17" xfId="0" applyNumberFormat="1" applyFont="1" applyFill="1" applyBorder="1" applyAlignment="1">
      <alignment horizontal="center" vertical="center"/>
    </xf>
    <xf numFmtId="167" fontId="27" fillId="16" borderId="15" xfId="0" applyNumberFormat="1" applyFont="1" applyFill="1" applyBorder="1" applyAlignment="1">
      <alignment horizontal="center" vertical="center"/>
    </xf>
    <xf numFmtId="0" fontId="0" fillId="19" borderId="0" xfId="0" applyFill="1" applyAlignment="1">
      <alignment vertical="center"/>
    </xf>
    <xf numFmtId="0" fontId="0" fillId="17" borderId="0" xfId="0" applyFill="1" applyAlignment="1">
      <alignment vertical="center"/>
    </xf>
    <xf numFmtId="0" fontId="29" fillId="0" borderId="0" xfId="0" applyFont="1"/>
    <xf numFmtId="3" fontId="31" fillId="0" borderId="0" xfId="1" applyNumberFormat="1" applyFont="1" applyAlignment="1" applyProtection="1">
      <alignment horizontal="center"/>
      <protection hidden="1"/>
    </xf>
    <xf numFmtId="49" fontId="32" fillId="2" borderId="4" xfId="1" applyNumberFormat="1" applyFont="1" applyFill="1" applyBorder="1" applyAlignment="1" applyProtection="1">
      <alignment horizontal="center"/>
      <protection hidden="1"/>
    </xf>
    <xf numFmtId="3" fontId="33" fillId="0" borderId="0" xfId="1" applyNumberFormat="1" applyFont="1" applyAlignment="1" applyProtection="1">
      <alignment horizontal="center"/>
      <protection hidden="1"/>
    </xf>
    <xf numFmtId="0" fontId="34" fillId="0" borderId="3" xfId="0" applyFont="1" applyBorder="1" applyAlignment="1">
      <alignment vertical="center"/>
    </xf>
    <xf numFmtId="0" fontId="30" fillId="0" borderId="2" xfId="0" applyFont="1" applyBorder="1" applyAlignment="1">
      <alignment vertical="center"/>
    </xf>
    <xf numFmtId="0" fontId="29" fillId="0" borderId="2" xfId="0" applyFont="1" applyBorder="1" applyAlignment="1">
      <alignment vertical="center" wrapText="1"/>
    </xf>
    <xf numFmtId="0" fontId="29" fillId="0" borderId="1" xfId="0" applyFont="1" applyBorder="1" applyAlignment="1">
      <alignment vertical="center" wrapText="1"/>
    </xf>
    <xf numFmtId="0" fontId="13" fillId="20" borderId="4" xfId="0" applyFont="1" applyFill="1" applyBorder="1" applyAlignment="1">
      <alignment horizontal="center"/>
    </xf>
    <xf numFmtId="3" fontId="35" fillId="3" borderId="0" xfId="1" applyNumberFormat="1" applyFont="1" applyFill="1" applyAlignment="1" applyProtection="1">
      <alignment horizontal="center" vertical="center"/>
      <protection hidden="1"/>
    </xf>
    <xf numFmtId="0" fontId="16" fillId="17" borderId="0" xfId="0" applyFont="1" applyFill="1" applyAlignment="1">
      <alignment vertical="top" textRotation="90"/>
    </xf>
    <xf numFmtId="0" fontId="2" fillId="12" borderId="17" xfId="0" applyFont="1" applyFill="1" applyBorder="1" applyAlignment="1">
      <alignment horizontal="center"/>
    </xf>
    <xf numFmtId="0" fontId="0" fillId="5" borderId="4" xfId="0" applyFill="1" applyBorder="1" applyAlignment="1">
      <alignment vertical="center" wrapText="1"/>
    </xf>
    <xf numFmtId="0" fontId="0" fillId="0" borderId="0" xfId="0" applyAlignment="1">
      <alignment horizontal="left" vertical="center" wrapText="1"/>
    </xf>
    <xf numFmtId="0" fontId="0" fillId="0" borderId="15" xfId="0" applyBorder="1"/>
    <xf numFmtId="166" fontId="0" fillId="0" borderId="4" xfId="0" applyNumberFormat="1" applyBorder="1" applyAlignment="1">
      <alignment wrapText="1"/>
    </xf>
    <xf numFmtId="0" fontId="2" fillId="12" borderId="4" xfId="0" applyFont="1" applyFill="1" applyBorder="1" applyAlignment="1">
      <alignment horizontal="left" vertical="center"/>
    </xf>
    <xf numFmtId="0" fontId="0" fillId="20" borderId="14" xfId="0" applyFill="1" applyBorder="1" applyAlignment="1">
      <alignment horizontal="center"/>
    </xf>
    <xf numFmtId="0" fontId="0" fillId="20" borderId="4" xfId="0" applyFill="1" applyBorder="1" applyAlignment="1">
      <alignment horizontal="center"/>
    </xf>
    <xf numFmtId="0" fontId="0" fillId="13" borderId="4" xfId="0" applyFill="1" applyBorder="1" applyAlignment="1">
      <alignment horizontal="center"/>
    </xf>
    <xf numFmtId="0" fontId="0" fillId="13" borderId="4" xfId="0" applyFill="1" applyBorder="1" applyAlignment="1">
      <alignment horizontal="center" vertical="center"/>
    </xf>
    <xf numFmtId="175" fontId="0" fillId="9" borderId="4" xfId="0" applyNumberFormat="1" applyFill="1" applyBorder="1" applyAlignment="1">
      <alignment horizontal="center"/>
    </xf>
    <xf numFmtId="164" fontId="15" fillId="23" borderId="4" xfId="10" applyNumberFormat="1" applyFont="1" applyFill="1" applyBorder="1" applyAlignment="1">
      <alignment horizontal="center" vertical="center"/>
    </xf>
    <xf numFmtId="0" fontId="0" fillId="20" borderId="4" xfId="0" applyFill="1" applyBorder="1" applyAlignment="1">
      <alignment horizontal="center" vertical="center"/>
    </xf>
    <xf numFmtId="0" fontId="39" fillId="12" borderId="0" xfId="0" applyFont="1" applyFill="1"/>
    <xf numFmtId="0" fontId="2" fillId="12" borderId="16" xfId="0" applyFont="1" applyFill="1" applyBorder="1"/>
    <xf numFmtId="0" fontId="2" fillId="12" borderId="4" xfId="0" applyFont="1" applyFill="1" applyBorder="1" applyAlignment="1">
      <alignment horizontal="left"/>
    </xf>
    <xf numFmtId="0" fontId="1" fillId="4" borderId="4" xfId="0" applyFont="1" applyFill="1" applyBorder="1" applyAlignment="1">
      <alignment horizontal="center" vertical="center"/>
    </xf>
    <xf numFmtId="0" fontId="2" fillId="0" borderId="4" xfId="0" applyFont="1" applyBorder="1"/>
    <xf numFmtId="1" fontId="0" fillId="0" borderId="0" xfId="0" applyNumberFormat="1"/>
    <xf numFmtId="0" fontId="4" fillId="24" borderId="13" xfId="0" applyFont="1" applyFill="1" applyBorder="1" applyAlignment="1">
      <alignment horizontal="center" vertical="center"/>
    </xf>
    <xf numFmtId="0" fontId="0" fillId="26" borderId="0" xfId="0" applyFill="1"/>
    <xf numFmtId="167" fontId="27" fillId="25" borderId="4" xfId="10" applyNumberFormat="1" applyFont="1" applyFill="1" applyBorder="1" applyAlignment="1">
      <alignment horizontal="center" vertical="center"/>
    </xf>
    <xf numFmtId="167" fontId="27" fillId="25" borderId="13" xfId="0" applyNumberFormat="1" applyFont="1" applyFill="1" applyBorder="1" applyAlignment="1">
      <alignment horizontal="center" vertical="center"/>
    </xf>
    <xf numFmtId="0" fontId="17" fillId="26" borderId="11" xfId="0" applyFont="1" applyFill="1" applyBorder="1"/>
    <xf numFmtId="0" fontId="0" fillId="26" borderId="10" xfId="0" applyFill="1" applyBorder="1"/>
    <xf numFmtId="0" fontId="17" fillId="26" borderId="0" xfId="0" applyFont="1" applyFill="1"/>
    <xf numFmtId="0" fontId="0" fillId="26" borderId="0" xfId="0" applyFill="1" applyAlignment="1">
      <alignment horizontal="left" vertical="top" wrapText="1"/>
    </xf>
    <xf numFmtId="0" fontId="0" fillId="26" borderId="7" xfId="0" applyFill="1" applyBorder="1"/>
    <xf numFmtId="0" fontId="17" fillId="26" borderId="6" xfId="0" applyFont="1" applyFill="1" applyBorder="1"/>
    <xf numFmtId="0" fontId="0" fillId="26" borderId="5" xfId="0" applyFill="1" applyBorder="1"/>
    <xf numFmtId="0" fontId="0" fillId="26" borderId="4" xfId="0" applyFill="1" applyBorder="1" applyAlignment="1">
      <alignment vertical="center"/>
    </xf>
    <xf numFmtId="0" fontId="0" fillId="26" borderId="4" xfId="0" applyFill="1" applyBorder="1" applyAlignment="1">
      <alignment vertical="center" wrapText="1"/>
    </xf>
    <xf numFmtId="0" fontId="0" fillId="26" borderId="4" xfId="0" applyFill="1" applyBorder="1"/>
    <xf numFmtId="0" fontId="0" fillId="26" borderId="4" xfId="0" applyFill="1" applyBorder="1" applyAlignment="1">
      <alignment horizontal="center" vertical="center"/>
    </xf>
    <xf numFmtId="0" fontId="0" fillId="26" borderId="4" xfId="0" applyFill="1" applyBorder="1" applyAlignment="1">
      <alignment horizontal="left" vertical="center" wrapText="1"/>
    </xf>
    <xf numFmtId="0" fontId="13" fillId="26" borderId="0" xfId="0" applyFont="1" applyFill="1"/>
    <xf numFmtId="0" fontId="36" fillId="26" borderId="0" xfId="0" applyFont="1" applyFill="1"/>
    <xf numFmtId="0" fontId="0" fillId="26" borderId="15" xfId="0" applyFill="1" applyBorder="1" applyAlignment="1">
      <alignment horizontal="left"/>
    </xf>
    <xf numFmtId="0" fontId="4" fillId="27" borderId="4" xfId="0" applyFont="1" applyFill="1" applyBorder="1" applyAlignment="1">
      <alignment horizontal="center" vertical="center"/>
    </xf>
    <xf numFmtId="167" fontId="27" fillId="25" borderId="15" xfId="10" applyNumberFormat="1" applyFont="1" applyFill="1" applyBorder="1" applyAlignment="1">
      <alignment horizontal="center" vertical="center"/>
    </xf>
    <xf numFmtId="0" fontId="4" fillId="27" borderId="13" xfId="0" applyFont="1" applyFill="1" applyBorder="1" applyAlignment="1">
      <alignment horizontal="center" vertical="center"/>
    </xf>
    <xf numFmtId="178" fontId="27" fillId="25" borderId="4" xfId="10" applyNumberFormat="1" applyFont="1" applyFill="1" applyBorder="1" applyAlignment="1">
      <alignment horizontal="center" vertical="center"/>
    </xf>
    <xf numFmtId="0" fontId="4" fillId="28" borderId="13" xfId="0" applyFont="1" applyFill="1" applyBorder="1" applyAlignment="1">
      <alignment horizontal="center" vertical="center"/>
    </xf>
    <xf numFmtId="0" fontId="0" fillId="26" borderId="0" xfId="0" applyFill="1" applyAlignment="1">
      <alignment vertical="top"/>
    </xf>
    <xf numFmtId="6" fontId="27" fillId="25" borderId="4" xfId="0" applyNumberFormat="1" applyFont="1" applyFill="1" applyBorder="1" applyAlignment="1">
      <alignment horizontal="center" vertical="center"/>
    </xf>
    <xf numFmtId="0" fontId="0" fillId="26" borderId="4" xfId="0" applyFill="1" applyBorder="1" applyAlignment="1">
      <alignment horizontal="left" vertical="center"/>
    </xf>
    <xf numFmtId="173" fontId="27" fillId="25" borderId="4" xfId="10" applyNumberFormat="1" applyFont="1" applyFill="1" applyBorder="1" applyAlignment="1">
      <alignment horizontal="center" vertical="center"/>
    </xf>
    <xf numFmtId="0" fontId="27" fillId="25" borderId="4" xfId="0" applyFont="1" applyFill="1" applyBorder="1" applyAlignment="1">
      <alignment horizontal="center" vertical="center"/>
    </xf>
    <xf numFmtId="9" fontId="27" fillId="30" borderId="4" xfId="8" applyFont="1" applyFill="1" applyBorder="1" applyAlignment="1">
      <alignment horizontal="center" vertical="center"/>
    </xf>
    <xf numFmtId="164" fontId="27" fillId="30" borderId="4" xfId="0" applyNumberFormat="1" applyFont="1" applyFill="1" applyBorder="1" applyAlignment="1">
      <alignment horizontal="center" vertical="center"/>
    </xf>
    <xf numFmtId="0" fontId="0" fillId="26" borderId="4" xfId="0" applyFill="1" applyBorder="1" applyAlignment="1">
      <alignment horizontal="center"/>
    </xf>
    <xf numFmtId="164" fontId="27" fillId="30" borderId="18" xfId="8" applyNumberFormat="1" applyFont="1" applyFill="1" applyBorder="1" applyAlignment="1">
      <alignment horizontal="center" vertical="center"/>
    </xf>
    <xf numFmtId="0" fontId="0" fillId="26" borderId="0" xfId="0" applyFill="1" applyAlignment="1">
      <alignment vertical="center" wrapText="1"/>
    </xf>
    <xf numFmtId="177" fontId="4" fillId="29" borderId="4" xfId="0" applyNumberFormat="1" applyFont="1" applyFill="1" applyBorder="1" applyAlignment="1">
      <alignment horizontal="center" vertical="center"/>
    </xf>
    <xf numFmtId="0" fontId="0" fillId="26" borderId="0" xfId="0" applyFill="1" applyAlignment="1">
      <alignment horizontal="left" vertical="center" wrapText="1"/>
    </xf>
    <xf numFmtId="0" fontId="0" fillId="20" borderId="14" xfId="0" applyFill="1" applyBorder="1" applyAlignment="1">
      <alignment horizontal="center" wrapText="1"/>
    </xf>
    <xf numFmtId="180" fontId="27" fillId="30" borderId="4" xfId="0" applyNumberFormat="1" applyFont="1" applyFill="1" applyBorder="1" applyAlignment="1">
      <alignment horizontal="center" vertical="center"/>
    </xf>
    <xf numFmtId="0" fontId="0" fillId="13" borderId="4" xfId="0" applyFill="1" applyBorder="1" applyAlignment="1">
      <alignment horizontal="center" vertical="center" wrapText="1"/>
    </xf>
    <xf numFmtId="0" fontId="2" fillId="8" borderId="4" xfId="0" applyFont="1" applyFill="1" applyBorder="1" applyAlignment="1">
      <alignment horizontal="center" vertical="center"/>
    </xf>
    <xf numFmtId="0" fontId="0" fillId="20" borderId="4" xfId="0" applyFill="1" applyBorder="1" applyAlignment="1">
      <alignment horizontal="center" wrapText="1"/>
    </xf>
    <xf numFmtId="0" fontId="0" fillId="20" borderId="4" xfId="0" applyFill="1" applyBorder="1" applyAlignment="1">
      <alignment horizontal="center" vertical="center" wrapText="1"/>
    </xf>
    <xf numFmtId="180" fontId="15" fillId="14" borderId="4" xfId="10" applyNumberFormat="1" applyFont="1" applyFill="1" applyBorder="1" applyAlignment="1">
      <alignment horizontal="center" vertical="center"/>
    </xf>
    <xf numFmtId="0" fontId="2" fillId="9" borderId="0" xfId="0" applyFont="1" applyFill="1"/>
    <xf numFmtId="0" fontId="6" fillId="0" borderId="17" xfId="2" applyFont="1" applyBorder="1" applyAlignment="1">
      <alignment vertical="center" wrapText="1"/>
    </xf>
    <xf numFmtId="0" fontId="6" fillId="0" borderId="4" xfId="10" applyNumberFormat="1" applyFont="1" applyFill="1" applyBorder="1" applyAlignment="1">
      <alignment horizontal="center" vertical="center" wrapText="1"/>
    </xf>
    <xf numFmtId="0" fontId="6" fillId="0" borderId="15" xfId="10" applyNumberFormat="1" applyFont="1" applyFill="1" applyBorder="1" applyAlignment="1">
      <alignment horizontal="center" vertical="center" wrapText="1"/>
    </xf>
    <xf numFmtId="164" fontId="5" fillId="0" borderId="4" xfId="10" applyNumberFormat="1" applyFont="1" applyFill="1" applyBorder="1" applyAlignment="1">
      <alignment horizontal="center" vertical="center" wrapText="1"/>
    </xf>
    <xf numFmtId="164" fontId="5" fillId="0" borderId="15" xfId="10" applyNumberFormat="1" applyFont="1" applyFill="1" applyBorder="1" applyAlignment="1">
      <alignment horizontal="center" vertical="center" wrapText="1"/>
    </xf>
    <xf numFmtId="164" fontId="5" fillId="0" borderId="0" xfId="10" applyNumberFormat="1" applyFont="1" applyFill="1" applyAlignment="1">
      <alignment horizontal="center" vertical="center" wrapText="1"/>
    </xf>
    <xf numFmtId="0" fontId="6" fillId="0" borderId="4" xfId="2" applyFont="1" applyBorder="1" applyAlignment="1">
      <alignment vertical="center" wrapText="1"/>
    </xf>
    <xf numFmtId="0" fontId="6" fillId="0" borderId="15" xfId="2" applyFont="1" applyBorder="1" applyAlignment="1">
      <alignment vertical="center" wrapText="1"/>
    </xf>
    <xf numFmtId="0" fontId="6" fillId="0" borderId="15" xfId="2" applyFont="1" applyBorder="1" applyAlignment="1">
      <alignment horizontal="center" vertical="center" wrapText="1"/>
    </xf>
    <xf numFmtId="164" fontId="6" fillId="0" borderId="0" xfId="2" applyNumberFormat="1" applyFont="1" applyAlignment="1">
      <alignment horizontal="center" vertical="center" wrapText="1"/>
    </xf>
    <xf numFmtId="0" fontId="5" fillId="0" borderId="15" xfId="2" applyBorder="1" applyAlignment="1">
      <alignment horizontal="right" vertical="center" wrapText="1"/>
    </xf>
    <xf numFmtId="0" fontId="5" fillId="0" borderId="17" xfId="2" applyBorder="1" applyAlignment="1">
      <alignment vertical="center" wrapText="1"/>
    </xf>
    <xf numFmtId="168" fontId="0" fillId="0" borderId="4" xfId="0" applyNumberFormat="1" applyBorder="1" applyAlignment="1">
      <alignment horizontal="left"/>
    </xf>
    <xf numFmtId="164" fontId="15" fillId="14" borderId="17" xfId="10" applyNumberFormat="1" applyFont="1" applyFill="1" applyBorder="1" applyAlignment="1">
      <alignment horizontal="center" vertical="center"/>
    </xf>
    <xf numFmtId="0" fontId="4" fillId="27" borderId="17" xfId="0" applyFont="1" applyFill="1" applyBorder="1" applyAlignment="1">
      <alignment horizontal="center" vertical="center"/>
    </xf>
    <xf numFmtId="0" fontId="25" fillId="6" borderId="31" xfId="0" applyFont="1" applyFill="1" applyBorder="1"/>
    <xf numFmtId="167" fontId="41" fillId="25" borderId="4" xfId="10" applyNumberFormat="1" applyFont="1" applyFill="1" applyBorder="1" applyAlignment="1">
      <alignment horizontal="center" vertical="center"/>
    </xf>
    <xf numFmtId="179" fontId="41" fillId="31" borderId="13" xfId="0" applyNumberFormat="1" applyFont="1" applyFill="1" applyBorder="1" applyAlignment="1">
      <alignment horizontal="center" vertical="center"/>
    </xf>
    <xf numFmtId="0" fontId="0" fillId="0" borderId="4" xfId="0" applyBorder="1" applyAlignment="1">
      <alignment horizontal="left" vertical="center" wrapText="1"/>
    </xf>
    <xf numFmtId="0" fontId="0" fillId="0" borderId="4" xfId="0" applyBorder="1" applyAlignment="1">
      <alignment horizontal="center" vertical="center" wrapText="1"/>
    </xf>
    <xf numFmtId="0" fontId="0" fillId="26" borderId="0" xfId="0" applyFill="1" applyAlignment="1">
      <alignment wrapText="1"/>
    </xf>
    <xf numFmtId="0" fontId="2" fillId="5" borderId="12" xfId="0" applyFont="1" applyFill="1" applyBorder="1" applyAlignment="1">
      <alignment horizontal="left" vertical="center"/>
    </xf>
    <xf numFmtId="0" fontId="2" fillId="26" borderId="12" xfId="0" applyFont="1" applyFill="1" applyBorder="1"/>
    <xf numFmtId="0" fontId="0" fillId="26" borderId="11" xfId="0" applyFill="1" applyBorder="1"/>
    <xf numFmtId="0" fontId="22" fillId="13" borderId="21" xfId="18" applyAlignment="1"/>
    <xf numFmtId="0" fontId="25" fillId="6" borderId="15" xfId="0" applyFont="1" applyFill="1" applyBorder="1"/>
    <xf numFmtId="0" fontId="5" fillId="0" borderId="4" xfId="0" applyFont="1" applyBorder="1"/>
    <xf numFmtId="0" fontId="5" fillId="0" borderId="0" xfId="0" applyFont="1"/>
    <xf numFmtId="1" fontId="5" fillId="0" borderId="4" xfId="2" applyNumberFormat="1" applyBorder="1" applyAlignment="1">
      <alignment horizontal="right" vertical="center" wrapText="1"/>
    </xf>
    <xf numFmtId="1" fontId="6" fillId="0" borderId="4" xfId="2" applyNumberFormat="1" applyFont="1" applyBorder="1" applyAlignment="1">
      <alignment horizontal="right" vertical="center" wrapText="1"/>
    </xf>
    <xf numFmtId="164" fontId="6" fillId="0" borderId="4" xfId="2" applyNumberFormat="1" applyFont="1" applyBorder="1" applyAlignment="1">
      <alignment horizontal="center" vertical="center" wrapText="1"/>
    </xf>
    <xf numFmtId="170" fontId="6" fillId="0" borderId="4" xfId="10" applyNumberFormat="1" applyFont="1" applyFill="1" applyBorder="1" applyAlignment="1">
      <alignment horizontal="center" vertical="center" wrapText="1"/>
    </xf>
    <xf numFmtId="0" fontId="5" fillId="0" borderId="4" xfId="2" applyBorder="1"/>
    <xf numFmtId="164" fontId="5" fillId="0" borderId="15" xfId="2" applyNumberFormat="1" applyBorder="1" applyAlignment="1">
      <alignment horizontal="center" vertical="center" wrapText="1"/>
    </xf>
    <xf numFmtId="164" fontId="5" fillId="0" borderId="4" xfId="2" applyNumberFormat="1" applyBorder="1" applyAlignment="1">
      <alignment horizontal="center" vertical="center" wrapText="1"/>
    </xf>
    <xf numFmtId="0" fontId="5" fillId="0" borderId="4" xfId="0" applyFont="1" applyBorder="1" applyAlignment="1">
      <alignment vertical="top" wrapText="1"/>
    </xf>
    <xf numFmtId="0" fontId="5" fillId="0" borderId="4" xfId="0" applyFont="1" applyBorder="1" applyAlignment="1">
      <alignment vertical="top"/>
    </xf>
    <xf numFmtId="164" fontId="5" fillId="0" borderId="4" xfId="0" applyNumberFormat="1" applyFont="1" applyBorder="1" applyAlignment="1">
      <alignment vertical="center"/>
    </xf>
    <xf numFmtId="0" fontId="5" fillId="0" borderId="4" xfId="0" applyFont="1" applyBorder="1" applyAlignment="1">
      <alignment vertical="center"/>
    </xf>
    <xf numFmtId="0" fontId="6" fillId="0" borderId="0" xfId="0" applyFont="1" applyAlignment="1">
      <alignment vertical="center"/>
    </xf>
    <xf numFmtId="164" fontId="5" fillId="0" borderId="16" xfId="0" applyNumberFormat="1" applyFont="1" applyBorder="1" applyAlignment="1">
      <alignment vertical="center"/>
    </xf>
    <xf numFmtId="0" fontId="5" fillId="0" borderId="15" xfId="2" applyBorder="1" applyAlignment="1">
      <alignment vertical="center" wrapText="1"/>
    </xf>
    <xf numFmtId="0" fontId="5" fillId="0" borderId="13" xfId="2" applyBorder="1" applyAlignment="1">
      <alignment horizontal="right" vertical="center" wrapText="1"/>
    </xf>
    <xf numFmtId="0" fontId="5" fillId="0" borderId="18" xfId="2" applyBorder="1" applyAlignment="1">
      <alignment horizontal="right" vertical="center" wrapText="1"/>
    </xf>
    <xf numFmtId="0" fontId="5" fillId="0" borderId="0" xfId="2" applyAlignment="1">
      <alignment horizontal="right" vertical="center" wrapText="1"/>
    </xf>
    <xf numFmtId="0" fontId="5" fillId="6" borderId="0" xfId="0" applyFont="1" applyFill="1"/>
    <xf numFmtId="0" fontId="5" fillId="0" borderId="18" xfId="2" applyBorder="1" applyAlignment="1">
      <alignment vertical="center" wrapText="1"/>
    </xf>
    <xf numFmtId="164" fontId="5" fillId="0" borderId="0" xfId="2" applyNumberFormat="1" applyAlignment="1">
      <alignment horizontal="center" vertical="center" wrapText="1"/>
    </xf>
    <xf numFmtId="164" fontId="5" fillId="0" borderId="0" xfId="10" applyNumberFormat="1" applyFont="1" applyFill="1" applyAlignment="1">
      <alignment horizontal="center" vertical="center"/>
    </xf>
    <xf numFmtId="0" fontId="2" fillId="12" borderId="17" xfId="0" applyFont="1" applyFill="1" applyBorder="1" applyAlignment="1">
      <alignment horizontal="center" vertical="center"/>
    </xf>
    <xf numFmtId="167" fontId="27" fillId="25" borderId="4" xfId="10" applyNumberFormat="1" applyFont="1" applyFill="1" applyBorder="1" applyAlignment="1">
      <alignment horizontal="left" vertical="center"/>
    </xf>
    <xf numFmtId="0" fontId="0" fillId="32" borderId="0" xfId="0" applyFill="1"/>
    <xf numFmtId="0" fontId="25" fillId="32" borderId="0" xfId="0" applyFont="1" applyFill="1"/>
    <xf numFmtId="168" fontId="0" fillId="0" borderId="4" xfId="0" applyNumberFormat="1" applyBorder="1"/>
    <xf numFmtId="168" fontId="2" fillId="0" borderId="4" xfId="0" applyNumberFormat="1" applyFont="1" applyBorder="1"/>
    <xf numFmtId="0" fontId="27" fillId="33" borderId="4" xfId="0" applyFont="1" applyFill="1" applyBorder="1" applyAlignment="1">
      <alignment horizontal="center" vertical="center"/>
    </xf>
    <xf numFmtId="169" fontId="27" fillId="33" borderId="4" xfId="8" applyNumberFormat="1" applyFont="1" applyFill="1" applyBorder="1" applyAlignment="1">
      <alignment horizontal="center" vertical="center"/>
    </xf>
    <xf numFmtId="180" fontId="27" fillId="34" borderId="4" xfId="0" applyNumberFormat="1" applyFont="1" applyFill="1" applyBorder="1" applyAlignment="1">
      <alignment horizontal="center" vertical="center"/>
    </xf>
    <xf numFmtId="0" fontId="44" fillId="0" borderId="0" xfId="0" applyFont="1"/>
    <xf numFmtId="0" fontId="45" fillId="0" borderId="0" xfId="0" applyFont="1"/>
    <xf numFmtId="167" fontId="2" fillId="11" borderId="0" xfId="12" applyNumberFormat="1" applyFont="1" applyFill="1" applyBorder="1"/>
    <xf numFmtId="167" fontId="2" fillId="11" borderId="33" xfId="12" applyNumberFormat="1" applyFont="1" applyFill="1" applyBorder="1"/>
    <xf numFmtId="42" fontId="0" fillId="0" borderId="0" xfId="12" applyFont="1" applyBorder="1" applyAlignment="1">
      <alignment horizontal="right" vertical="center"/>
    </xf>
    <xf numFmtId="167" fontId="0" fillId="0" borderId="0" xfId="0" applyNumberFormat="1" applyAlignment="1">
      <alignment horizontal="right" vertical="center"/>
    </xf>
    <xf numFmtId="170" fontId="0" fillId="0" borderId="0" xfId="10" applyNumberFormat="1" applyFont="1" applyBorder="1" applyAlignment="1">
      <alignment vertical="center"/>
    </xf>
    <xf numFmtId="42" fontId="2" fillId="11" borderId="0" xfId="12" applyFont="1" applyFill="1" applyBorder="1" applyAlignment="1">
      <alignment vertical="center"/>
    </xf>
    <xf numFmtId="42" fontId="2" fillId="11" borderId="0" xfId="12" applyFont="1" applyFill="1" applyBorder="1"/>
    <xf numFmtId="42" fontId="0" fillId="0" borderId="0" xfId="12" applyFont="1" applyBorder="1" applyAlignment="1">
      <alignment vertical="center"/>
    </xf>
    <xf numFmtId="42" fontId="0" fillId="2" borderId="0" xfId="12" applyFont="1" applyFill="1" applyBorder="1" applyAlignment="1">
      <alignment horizontal="right" vertical="center"/>
    </xf>
    <xf numFmtId="0" fontId="46" fillId="0" borderId="4" xfId="0" applyFont="1" applyBorder="1" applyAlignment="1">
      <alignment horizontal="left" vertical="center"/>
    </xf>
    <xf numFmtId="0" fontId="4" fillId="24" borderId="4" xfId="0" applyFont="1" applyFill="1" applyBorder="1" applyAlignment="1">
      <alignment horizontal="center" vertical="center"/>
    </xf>
    <xf numFmtId="0" fontId="2" fillId="0" borderId="4" xfId="0" applyFont="1" applyBorder="1" applyAlignment="1">
      <alignment horizontal="center"/>
    </xf>
    <xf numFmtId="164" fontId="0" fillId="9" borderId="4" xfId="0" applyNumberFormat="1" applyFill="1" applyBorder="1" applyAlignment="1">
      <alignment horizontal="center"/>
    </xf>
    <xf numFmtId="166" fontId="2" fillId="12" borderId="0" xfId="0" applyNumberFormat="1" applyFont="1" applyFill="1"/>
    <xf numFmtId="166" fontId="47" fillId="12" borderId="0" xfId="0" applyNumberFormat="1" applyFont="1" applyFill="1"/>
    <xf numFmtId="172" fontId="0" fillId="0" borderId="0" xfId="0" applyNumberFormat="1" applyAlignment="1">
      <alignment horizontal="center"/>
    </xf>
    <xf numFmtId="167" fontId="2" fillId="11" borderId="0" xfId="12" applyNumberFormat="1" applyFont="1" applyFill="1" applyBorder="1" applyAlignment="1">
      <alignment vertical="center"/>
    </xf>
    <xf numFmtId="172" fontId="0" fillId="0" borderId="16" xfId="0" applyNumberFormat="1" applyBorder="1" applyAlignment="1">
      <alignment horizontal="center"/>
    </xf>
    <xf numFmtId="164" fontId="27" fillId="31" borderId="4" xfId="0" applyNumberFormat="1" applyFont="1" applyFill="1" applyBorder="1" applyAlignment="1">
      <alignment horizontal="center" vertical="center"/>
    </xf>
    <xf numFmtId="9" fontId="27" fillId="31" borderId="4" xfId="8" applyFont="1" applyFill="1" applyBorder="1" applyAlignment="1">
      <alignment horizontal="center" vertical="center"/>
    </xf>
    <xf numFmtId="0" fontId="1" fillId="6" borderId="16" xfId="0" applyFont="1" applyFill="1" applyBorder="1" applyAlignment="1">
      <alignment horizontal="center"/>
    </xf>
    <xf numFmtId="0" fontId="0" fillId="0" borderId="16" xfId="0" applyBorder="1" applyAlignment="1">
      <alignment horizontal="center"/>
    </xf>
    <xf numFmtId="166" fontId="0" fillId="12" borderId="16" xfId="0" applyNumberFormat="1" applyFill="1" applyBorder="1" applyAlignment="1">
      <alignment horizontal="center"/>
    </xf>
    <xf numFmtId="166" fontId="0" fillId="0" borderId="16" xfId="0" applyNumberFormat="1" applyBorder="1" applyAlignment="1">
      <alignment horizontal="center"/>
    </xf>
    <xf numFmtId="170" fontId="0" fillId="0" borderId="16" xfId="10" applyNumberFormat="1" applyFont="1" applyBorder="1" applyAlignment="1">
      <alignment horizontal="center" vertical="center"/>
    </xf>
    <xf numFmtId="167" fontId="2" fillId="11" borderId="16" xfId="12" applyNumberFormat="1" applyFont="1" applyFill="1" applyBorder="1" applyAlignment="1">
      <alignment horizontal="center" vertical="center"/>
    </xf>
    <xf numFmtId="0" fontId="0" fillId="0" borderId="0" xfId="0" applyAlignment="1">
      <alignment vertical="center"/>
    </xf>
    <xf numFmtId="0" fontId="13" fillId="20" borderId="4" xfId="0" applyFont="1" applyFill="1" applyBorder="1" applyAlignment="1">
      <alignment horizontal="right" vertical="center"/>
    </xf>
    <xf numFmtId="0" fontId="13" fillId="20" borderId="4" xfId="0" applyFont="1" applyFill="1" applyBorder="1" applyAlignment="1">
      <alignment horizontal="center" vertical="center" wrapText="1"/>
    </xf>
    <xf numFmtId="164" fontId="27" fillId="31" borderId="17" xfId="0" applyNumberFormat="1" applyFont="1" applyFill="1" applyBorder="1" applyAlignment="1">
      <alignment horizontal="center" vertical="center"/>
    </xf>
    <xf numFmtId="0" fontId="48" fillId="6" borderId="15" xfId="0" applyFont="1" applyFill="1" applyBorder="1"/>
    <xf numFmtId="0" fontId="49" fillId="6" borderId="0" xfId="0" applyFont="1" applyFill="1"/>
    <xf numFmtId="0" fontId="0" fillId="9" borderId="4" xfId="0" applyFill="1" applyBorder="1" applyAlignment="1">
      <alignment horizontal="center"/>
    </xf>
    <xf numFmtId="1" fontId="0" fillId="0" borderId="4" xfId="0" applyNumberFormat="1" applyBorder="1" applyAlignment="1">
      <alignment horizontal="center"/>
    </xf>
    <xf numFmtId="0" fontId="5" fillId="35" borderId="18" xfId="2" applyFill="1" applyBorder="1" applyAlignment="1">
      <alignment horizontal="right" vertical="center" wrapText="1"/>
    </xf>
    <xf numFmtId="0" fontId="5" fillId="35" borderId="13" xfId="2" applyFill="1" applyBorder="1" applyAlignment="1">
      <alignment horizontal="right" vertical="center" wrapText="1"/>
    </xf>
    <xf numFmtId="1" fontId="5" fillId="35" borderId="4" xfId="2" applyNumberFormat="1" applyFill="1" applyBorder="1" applyAlignment="1">
      <alignment horizontal="right" vertical="center" wrapText="1"/>
    </xf>
    <xf numFmtId="1" fontId="5" fillId="35" borderId="15" xfId="2" applyNumberFormat="1" applyFill="1" applyBorder="1" applyAlignment="1">
      <alignment horizontal="right" vertical="center" wrapText="1"/>
    </xf>
    <xf numFmtId="0" fontId="6" fillId="0" borderId="35" xfId="2" applyFont="1" applyBorder="1" applyAlignment="1">
      <alignment horizontal="center" vertical="center" wrapText="1"/>
    </xf>
    <xf numFmtId="1" fontId="5" fillId="0" borderId="36" xfId="2" applyNumberFormat="1" applyBorder="1" applyAlignment="1">
      <alignment horizontal="right" vertical="center" wrapText="1"/>
    </xf>
    <xf numFmtId="0" fontId="5" fillId="0" borderId="2" xfId="0" applyFont="1" applyBorder="1"/>
    <xf numFmtId="1" fontId="5" fillId="0" borderId="37" xfId="2" applyNumberFormat="1" applyBorder="1" applyAlignment="1">
      <alignment horizontal="right" vertical="center" wrapText="1"/>
    </xf>
    <xf numFmtId="0" fontId="0" fillId="0" borderId="0" xfId="0" applyAlignment="1">
      <alignment horizontal="center"/>
    </xf>
    <xf numFmtId="1" fontId="0" fillId="0" borderId="0" xfId="0" applyNumberFormat="1" applyAlignment="1">
      <alignment horizontal="center"/>
    </xf>
    <xf numFmtId="0" fontId="5" fillId="0" borderId="4" xfId="2" applyBorder="1" applyAlignment="1">
      <alignment horizontal="center" vertical="center" wrapText="1"/>
    </xf>
    <xf numFmtId="0" fontId="5" fillId="0" borderId="15" xfId="2" applyBorder="1" applyAlignment="1">
      <alignment horizontal="center" vertical="center" wrapText="1"/>
    </xf>
    <xf numFmtId="164" fontId="5" fillId="0" borderId="36" xfId="2" applyNumberFormat="1" applyBorder="1" applyAlignment="1">
      <alignment horizontal="center" vertical="center" wrapText="1"/>
    </xf>
    <xf numFmtId="164" fontId="5" fillId="0" borderId="37" xfId="2" applyNumberFormat="1" applyBorder="1" applyAlignment="1">
      <alignment horizontal="center" vertical="center" wrapText="1"/>
    </xf>
    <xf numFmtId="164" fontId="5" fillId="0" borderId="35" xfId="2" applyNumberFormat="1" applyBorder="1" applyAlignment="1">
      <alignment horizontal="center" vertical="center" wrapText="1"/>
    </xf>
    <xf numFmtId="181" fontId="5" fillId="0" borderId="4" xfId="2" applyNumberFormat="1" applyBorder="1" applyAlignment="1">
      <alignment horizontal="left" vertical="center" wrapText="1"/>
    </xf>
    <xf numFmtId="167" fontId="2" fillId="11" borderId="16" xfId="12" applyNumberFormat="1" applyFont="1" applyFill="1" applyBorder="1"/>
    <xf numFmtId="0" fontId="0" fillId="9" borderId="4" xfId="8" applyNumberFormat="1" applyFont="1" applyFill="1" applyBorder="1" applyAlignment="1">
      <alignment horizontal="center"/>
    </xf>
    <xf numFmtId="0" fontId="22" fillId="13" borderId="21" xfId="18" applyAlignment="1">
      <alignment horizontal="left"/>
    </xf>
    <xf numFmtId="0" fontId="26" fillId="13" borderId="21" xfId="18" applyFont="1" applyAlignment="1">
      <alignment horizontal="left"/>
    </xf>
    <xf numFmtId="168" fontId="0" fillId="0" borderId="0" xfId="0" applyNumberFormat="1"/>
    <xf numFmtId="168" fontId="2" fillId="0" borderId="0" xfId="0" applyNumberFormat="1" applyFont="1"/>
    <xf numFmtId="164" fontId="0" fillId="0" borderId="0" xfId="0" applyNumberFormat="1"/>
    <xf numFmtId="164" fontId="0" fillId="0" borderId="4" xfId="0" applyNumberFormat="1" applyBorder="1" applyAlignment="1">
      <alignment horizontal="left"/>
    </xf>
    <xf numFmtId="164" fontId="0" fillId="0" borderId="4" xfId="0" applyNumberFormat="1" applyBorder="1"/>
    <xf numFmtId="164" fontId="13" fillId="0" borderId="4" xfId="0" applyNumberFormat="1" applyFont="1" applyBorder="1"/>
    <xf numFmtId="9" fontId="8" fillId="14" borderId="4" xfId="8" applyFont="1" applyFill="1" applyBorder="1" applyAlignment="1">
      <alignment horizontal="center" vertical="center"/>
    </xf>
    <xf numFmtId="181" fontId="5" fillId="9" borderId="4" xfId="2" applyNumberFormat="1" applyFill="1" applyBorder="1" applyAlignment="1">
      <alignment horizontal="center" vertical="center" wrapText="1"/>
    </xf>
    <xf numFmtId="182" fontId="5" fillId="9" borderId="4" xfId="2" applyNumberFormat="1" applyFill="1" applyBorder="1" applyAlignment="1">
      <alignment horizontal="center" vertical="center" wrapText="1"/>
    </xf>
    <xf numFmtId="164" fontId="0" fillId="9" borderId="13" xfId="0" applyNumberFormat="1" applyFill="1" applyBorder="1" applyAlignment="1">
      <alignment horizontal="center" vertical="center"/>
    </xf>
    <xf numFmtId="1" fontId="0" fillId="9" borderId="4" xfId="0" applyNumberFormat="1" applyFill="1" applyBorder="1" applyAlignment="1">
      <alignment horizontal="center"/>
    </xf>
    <xf numFmtId="1" fontId="0" fillId="9" borderId="4" xfId="0" applyNumberFormat="1" applyFill="1" applyBorder="1" applyAlignment="1">
      <alignment horizontal="center" vertical="center"/>
    </xf>
    <xf numFmtId="9" fontId="0" fillId="9" borderId="4" xfId="0" applyNumberFormat="1" applyFill="1" applyBorder="1" applyAlignment="1">
      <alignment horizontal="center"/>
    </xf>
    <xf numFmtId="9" fontId="0" fillId="9" borderId="4" xfId="8" applyFont="1" applyFill="1" applyBorder="1" applyAlignment="1">
      <alignment horizontal="center" vertical="center"/>
    </xf>
    <xf numFmtId="166" fontId="2" fillId="0" borderId="0" xfId="0" applyNumberFormat="1" applyFont="1"/>
    <xf numFmtId="167" fontId="2" fillId="0" borderId="0" xfId="0" applyNumberFormat="1" applyFont="1"/>
    <xf numFmtId="167" fontId="2" fillId="0" borderId="0" xfId="12" applyNumberFormat="1" applyFont="1" applyFill="1" applyBorder="1"/>
    <xf numFmtId="164" fontId="2" fillId="9" borderId="26" xfId="0" applyNumberFormat="1" applyFont="1" applyFill="1" applyBorder="1" applyAlignment="1">
      <alignment horizontal="center"/>
    </xf>
    <xf numFmtId="164" fontId="2" fillId="9" borderId="38" xfId="0" applyNumberFormat="1" applyFont="1" applyFill="1" applyBorder="1" applyAlignment="1">
      <alignment horizontal="center"/>
    </xf>
    <xf numFmtId="164" fontId="2" fillId="9" borderId="29" xfId="0" applyNumberFormat="1" applyFont="1" applyFill="1" applyBorder="1" applyAlignment="1">
      <alignment horizontal="center"/>
    </xf>
    <xf numFmtId="164" fontId="2" fillId="0" borderId="4" xfId="0" applyNumberFormat="1" applyFont="1" applyBorder="1"/>
    <xf numFmtId="1" fontId="5" fillId="0" borderId="15" xfId="2" applyNumberFormat="1" applyBorder="1" applyAlignment="1">
      <alignment horizontal="right" vertical="center" wrapText="1"/>
    </xf>
    <xf numFmtId="0" fontId="49" fillId="6" borderId="16" xfId="0" applyFont="1" applyFill="1" applyBorder="1"/>
    <xf numFmtId="167" fontId="2" fillId="11" borderId="16" xfId="12" applyNumberFormat="1" applyFont="1" applyFill="1" applyBorder="1" applyAlignment="1"/>
    <xf numFmtId="167" fontId="2" fillId="0" borderId="16" xfId="12" applyNumberFormat="1" applyFont="1" applyFill="1" applyBorder="1" applyAlignment="1"/>
    <xf numFmtId="167" fontId="0" fillId="0" borderId="16" xfId="0" applyNumberFormat="1" applyBorder="1" applyAlignment="1">
      <alignment vertical="center"/>
    </xf>
    <xf numFmtId="0" fontId="2" fillId="9" borderId="4" xfId="0" applyFont="1" applyFill="1" applyBorder="1" applyAlignment="1">
      <alignment horizontal="center"/>
    </xf>
    <xf numFmtId="0" fontId="40" fillId="0" borderId="39" xfId="0" applyFont="1" applyBorder="1"/>
    <xf numFmtId="0" fontId="2" fillId="9" borderId="40" xfId="0" applyFont="1" applyFill="1" applyBorder="1" applyAlignment="1">
      <alignment horizontal="center"/>
    </xf>
    <xf numFmtId="9" fontId="2" fillId="9" borderId="4" xfId="8" applyFont="1" applyFill="1" applyBorder="1" applyAlignment="1">
      <alignment horizontal="center"/>
    </xf>
    <xf numFmtId="0" fontId="52" fillId="6" borderId="0" xfId="0" applyFont="1" applyFill="1"/>
    <xf numFmtId="0" fontId="51" fillId="6" borderId="0" xfId="0" applyFont="1" applyFill="1"/>
    <xf numFmtId="166" fontId="52" fillId="6" borderId="0" xfId="0" applyNumberFormat="1" applyFont="1" applyFill="1"/>
    <xf numFmtId="166" fontId="51" fillId="6" borderId="0" xfId="0" applyNumberFormat="1" applyFont="1" applyFill="1"/>
    <xf numFmtId="166" fontId="51" fillId="6" borderId="16" xfId="0" applyNumberFormat="1" applyFont="1" applyFill="1" applyBorder="1"/>
    <xf numFmtId="166" fontId="51" fillId="6" borderId="0" xfId="0" applyNumberFormat="1" applyFont="1" applyFill="1" applyAlignment="1">
      <alignment horizontal="right"/>
    </xf>
    <xf numFmtId="167" fontId="2" fillId="11" borderId="0" xfId="12" applyNumberFormat="1" applyFont="1" applyFill="1" applyBorder="1" applyAlignment="1"/>
    <xf numFmtId="167" fontId="2" fillId="0" borderId="0" xfId="12" applyNumberFormat="1" applyFont="1" applyFill="1" applyBorder="1" applyAlignment="1"/>
    <xf numFmtId="167" fontId="0" fillId="0" borderId="0" xfId="0" applyNumberFormat="1" applyAlignment="1">
      <alignment vertical="center"/>
    </xf>
    <xf numFmtId="0" fontId="53" fillId="0" borderId="0" xfId="0" applyFont="1"/>
    <xf numFmtId="164" fontId="2" fillId="0" borderId="15" xfId="0" applyNumberFormat="1" applyFont="1" applyBorder="1"/>
    <xf numFmtId="164" fontId="2" fillId="0" borderId="14" xfId="0" applyNumberFormat="1" applyFont="1" applyBorder="1"/>
    <xf numFmtId="164" fontId="5" fillId="0" borderId="31" xfId="2" applyNumberFormat="1" applyBorder="1" applyAlignment="1">
      <alignment horizontal="center" vertical="center" wrapText="1"/>
    </xf>
    <xf numFmtId="164" fontId="5" fillId="0" borderId="30" xfId="2" applyNumberFormat="1" applyBorder="1" applyAlignment="1">
      <alignment horizontal="center" vertical="center" wrapText="1"/>
    </xf>
    <xf numFmtId="164" fontId="6" fillId="0" borderId="37" xfId="2" applyNumberFormat="1" applyFont="1" applyBorder="1" applyAlignment="1">
      <alignment horizontal="center" vertical="center" wrapText="1"/>
    </xf>
    <xf numFmtId="0" fontId="0" fillId="0" borderId="41" xfId="0" applyBorder="1" applyAlignment="1">
      <alignment textRotation="90"/>
    </xf>
    <xf numFmtId="164" fontId="0" fillId="9" borderId="17" xfId="0" applyNumberFormat="1" applyFill="1" applyBorder="1" applyAlignment="1">
      <alignment horizontal="center"/>
    </xf>
    <xf numFmtId="164" fontId="0" fillId="9" borderId="42" xfId="0" applyNumberFormat="1" applyFill="1" applyBorder="1" applyAlignment="1">
      <alignment horizontal="center"/>
    </xf>
    <xf numFmtId="164" fontId="0" fillId="9" borderId="26" xfId="0" applyNumberFormat="1" applyFill="1" applyBorder="1" applyAlignment="1">
      <alignment horizontal="center"/>
    </xf>
    <xf numFmtId="164" fontId="0" fillId="9" borderId="44" xfId="0" applyNumberFormat="1" applyFill="1" applyBorder="1" applyAlignment="1">
      <alignment horizontal="center"/>
    </xf>
    <xf numFmtId="164" fontId="0" fillId="9" borderId="29" xfId="0" applyNumberFormat="1" applyFill="1" applyBorder="1" applyAlignment="1">
      <alignment horizontal="center"/>
    </xf>
    <xf numFmtId="177" fontId="0" fillId="9" borderId="4" xfId="0" applyNumberFormat="1" applyFill="1" applyBorder="1" applyAlignment="1">
      <alignment vertical="center"/>
    </xf>
    <xf numFmtId="167" fontId="2" fillId="0" borderId="16" xfId="12" applyNumberFormat="1" applyFont="1" applyBorder="1"/>
    <xf numFmtId="0" fontId="0" fillId="0" borderId="17" xfId="0" applyBorder="1"/>
    <xf numFmtId="0" fontId="0" fillId="9" borderId="17" xfId="0" applyFill="1" applyBorder="1" applyAlignment="1">
      <alignment horizontal="center"/>
    </xf>
    <xf numFmtId="0" fontId="2" fillId="12" borderId="14" xfId="0" applyFont="1" applyFill="1" applyBorder="1" applyAlignment="1">
      <alignment horizontal="center"/>
    </xf>
    <xf numFmtId="0" fontId="2" fillId="12" borderId="15" xfId="0" applyFont="1" applyFill="1" applyBorder="1"/>
    <xf numFmtId="0" fontId="2" fillId="12" borderId="13" xfId="0" applyFont="1" applyFill="1" applyBorder="1" applyAlignment="1">
      <alignment horizontal="center"/>
    </xf>
    <xf numFmtId="0" fontId="2" fillId="0" borderId="4" xfId="0" applyFont="1" applyBorder="1" applyAlignment="1">
      <alignment horizontal="right"/>
    </xf>
    <xf numFmtId="165" fontId="2" fillId="9" borderId="4" xfId="0" applyNumberFormat="1" applyFont="1" applyFill="1" applyBorder="1" applyAlignment="1">
      <alignment horizontal="center"/>
    </xf>
    <xf numFmtId="0" fontId="2" fillId="0" borderId="12" xfId="0" applyFont="1" applyBorder="1" applyAlignment="1">
      <alignment horizontal="center"/>
    </xf>
    <xf numFmtId="0" fontId="2" fillId="0" borderId="10" xfId="0" applyFont="1" applyBorder="1" applyAlignment="1">
      <alignment horizontal="center"/>
    </xf>
    <xf numFmtId="171" fontId="2" fillId="9" borderId="4" xfId="0" applyNumberFormat="1" applyFont="1" applyFill="1" applyBorder="1" applyAlignment="1">
      <alignment horizontal="center"/>
    </xf>
    <xf numFmtId="167" fontId="0" fillId="9" borderId="4" xfId="0" applyNumberFormat="1" applyFill="1" applyBorder="1" applyAlignment="1">
      <alignment horizontal="center" vertical="center"/>
    </xf>
    <xf numFmtId="167" fontId="2" fillId="9" borderId="4" xfId="0" applyNumberFormat="1" applyFont="1" applyFill="1" applyBorder="1" applyAlignment="1">
      <alignment horizontal="center" vertical="center"/>
    </xf>
    <xf numFmtId="167" fontId="2" fillId="9" borderId="47" xfId="0" applyNumberFormat="1" applyFont="1" applyFill="1" applyBorder="1" applyAlignment="1">
      <alignment horizontal="center"/>
    </xf>
    <xf numFmtId="167" fontId="2" fillId="9" borderId="45" xfId="0" applyNumberFormat="1" applyFont="1" applyFill="1" applyBorder="1" applyAlignment="1">
      <alignment horizontal="center"/>
    </xf>
    <xf numFmtId="167" fontId="2" fillId="9" borderId="14" xfId="0" applyNumberFormat="1" applyFont="1" applyFill="1" applyBorder="1" applyAlignment="1">
      <alignment horizontal="center"/>
    </xf>
    <xf numFmtId="167" fontId="2" fillId="9" borderId="38" xfId="0" applyNumberFormat="1" applyFont="1" applyFill="1" applyBorder="1" applyAlignment="1">
      <alignment horizontal="center"/>
    </xf>
    <xf numFmtId="167" fontId="2" fillId="9" borderId="43" xfId="0" applyNumberFormat="1" applyFont="1" applyFill="1" applyBorder="1" applyAlignment="1">
      <alignment horizontal="center"/>
    </xf>
    <xf numFmtId="167" fontId="2" fillId="9" borderId="29" xfId="0" applyNumberFormat="1" applyFont="1" applyFill="1" applyBorder="1" applyAlignment="1">
      <alignment horizontal="center"/>
    </xf>
    <xf numFmtId="0" fontId="6" fillId="10" borderId="4" xfId="2" applyFont="1" applyFill="1" applyBorder="1" applyAlignment="1">
      <alignment horizontal="center" vertical="center" wrapText="1"/>
    </xf>
    <xf numFmtId="164" fontId="2" fillId="10" borderId="4" xfId="0" applyNumberFormat="1" applyFont="1" applyFill="1" applyBorder="1"/>
    <xf numFmtId="164" fontId="2" fillId="10" borderId="15" xfId="0" applyNumberFormat="1" applyFont="1" applyFill="1" applyBorder="1"/>
    <xf numFmtId="1" fontId="5" fillId="10" borderId="36" xfId="2" applyNumberFormat="1" applyFill="1" applyBorder="1" applyAlignment="1">
      <alignment horizontal="right" vertical="center" wrapText="1"/>
    </xf>
    <xf numFmtId="164" fontId="2" fillId="10" borderId="37" xfId="0" applyNumberFormat="1" applyFont="1" applyFill="1" applyBorder="1"/>
    <xf numFmtId="0" fontId="5" fillId="10" borderId="36" xfId="2" applyFill="1" applyBorder="1" applyAlignment="1">
      <alignment horizontal="center" vertical="center" wrapText="1"/>
    </xf>
    <xf numFmtId="1" fontId="5" fillId="10" borderId="36" xfId="2" applyNumberFormat="1" applyFill="1" applyBorder="1" applyAlignment="1">
      <alignment horizontal="center" vertical="center" wrapText="1"/>
    </xf>
    <xf numFmtId="164" fontId="5" fillId="10" borderId="36" xfId="2" applyNumberFormat="1" applyFill="1" applyBorder="1" applyAlignment="1">
      <alignment horizontal="center" vertical="center" wrapText="1"/>
    </xf>
    <xf numFmtId="167" fontId="0" fillId="0" borderId="0" xfId="11" applyNumberFormat="1" applyFont="1" applyAlignment="1">
      <alignment horizontal="right" vertical="center"/>
    </xf>
    <xf numFmtId="167" fontId="0" fillId="0" borderId="16" xfId="12" applyNumberFormat="1" applyFont="1" applyBorder="1" applyAlignment="1">
      <alignment vertical="center"/>
    </xf>
    <xf numFmtId="0" fontId="40" fillId="0" borderId="48" xfId="0" applyFont="1" applyBorder="1"/>
    <xf numFmtId="0" fontId="40" fillId="0" borderId="50" xfId="0" applyFont="1" applyBorder="1"/>
    <xf numFmtId="0" fontId="40" fillId="0" borderId="51" xfId="0" applyFont="1" applyBorder="1"/>
    <xf numFmtId="164" fontId="2" fillId="9" borderId="25" xfId="0" applyNumberFormat="1" applyFont="1" applyFill="1" applyBorder="1" applyAlignment="1">
      <alignment horizontal="center"/>
    </xf>
    <xf numFmtId="164" fontId="2" fillId="9" borderId="27" xfId="0" applyNumberFormat="1" applyFont="1" applyFill="1" applyBorder="1" applyAlignment="1">
      <alignment horizontal="center"/>
    </xf>
    <xf numFmtId="164" fontId="2" fillId="9" borderId="28" xfId="0" applyNumberFormat="1" applyFont="1" applyFill="1" applyBorder="1" applyAlignment="1">
      <alignment horizontal="center"/>
    </xf>
    <xf numFmtId="183" fontId="0" fillId="0" borderId="0" xfId="0" applyNumberFormat="1"/>
    <xf numFmtId="164" fontId="0" fillId="9" borderId="53" xfId="0" applyNumberFormat="1" applyFill="1" applyBorder="1" applyAlignment="1">
      <alignment horizontal="center"/>
    </xf>
    <xf numFmtId="167" fontId="0" fillId="2" borderId="16" xfId="12" applyNumberFormat="1" applyFont="1" applyFill="1" applyBorder="1" applyAlignment="1">
      <alignment vertical="center"/>
    </xf>
    <xf numFmtId="167" fontId="8" fillId="9" borderId="4" xfId="12" applyNumberFormat="1" applyFont="1" applyFill="1" applyBorder="1" applyAlignment="1">
      <alignment horizontal="center"/>
    </xf>
    <xf numFmtId="164" fontId="0" fillId="9" borderId="25" xfId="0" applyNumberFormat="1" applyFill="1" applyBorder="1" applyAlignment="1">
      <alignment horizontal="center"/>
    </xf>
    <xf numFmtId="164" fontId="0" fillId="9" borderId="52" xfId="0" applyNumberFormat="1" applyFill="1" applyBorder="1" applyAlignment="1">
      <alignment horizontal="center"/>
    </xf>
    <xf numFmtId="164" fontId="0" fillId="9" borderId="28" xfId="0" applyNumberFormat="1" applyFill="1" applyBorder="1" applyAlignment="1">
      <alignment horizontal="center"/>
    </xf>
    <xf numFmtId="0" fontId="15" fillId="36" borderId="13" xfId="0" applyFont="1" applyFill="1" applyBorder="1" applyAlignment="1">
      <alignment horizontal="center" vertical="center" wrapText="1"/>
    </xf>
    <xf numFmtId="0" fontId="54" fillId="13" borderId="21" xfId="18" applyFont="1" applyAlignment="1">
      <alignment horizontal="left"/>
    </xf>
    <xf numFmtId="0" fontId="55" fillId="13" borderId="21" xfId="18" applyFont="1">
      <alignment horizontal="left" indent="1"/>
    </xf>
    <xf numFmtId="0" fontId="8" fillId="0" borderId="0" xfId="0" applyFont="1"/>
    <xf numFmtId="0" fontId="56" fillId="0" borderId="0" xfId="19" applyFont="1"/>
    <xf numFmtId="0" fontId="8" fillId="0" borderId="4" xfId="0" applyFont="1" applyBorder="1"/>
    <xf numFmtId="0" fontId="57" fillId="0" borderId="15" xfId="54" applyFont="1" applyBorder="1" applyAlignment="1">
      <alignment wrapText="1"/>
    </xf>
    <xf numFmtId="0" fontId="57" fillId="0" borderId="14" xfId="54" applyFont="1" applyBorder="1" applyAlignment="1">
      <alignment wrapText="1"/>
    </xf>
    <xf numFmtId="0" fontId="57" fillId="0" borderId="33" xfId="54" applyFont="1" applyBorder="1" applyAlignment="1">
      <alignment wrapText="1"/>
    </xf>
    <xf numFmtId="0" fontId="57" fillId="0" borderId="41" xfId="54" applyFont="1" applyBorder="1" applyAlignment="1">
      <alignment wrapText="1"/>
    </xf>
    <xf numFmtId="0" fontId="58" fillId="0" borderId="33" xfId="54" applyFont="1" applyBorder="1" applyAlignment="1">
      <alignment vertical="center" wrapText="1"/>
    </xf>
    <xf numFmtId="0" fontId="59" fillId="0" borderId="41" xfId="54" applyFont="1" applyBorder="1" applyAlignment="1">
      <alignment vertical="center" wrapText="1"/>
    </xf>
    <xf numFmtId="0" fontId="59" fillId="0" borderId="41" xfId="54" applyFont="1" applyBorder="1" applyAlignment="1">
      <alignment horizontal="right" vertical="center" wrapText="1"/>
    </xf>
    <xf numFmtId="0" fontId="19" fillId="0" borderId="33" xfId="54" applyFont="1" applyBorder="1"/>
    <xf numFmtId="0" fontId="19" fillId="0" borderId="41" xfId="54" applyFont="1" applyBorder="1" applyAlignment="1">
      <alignment horizontal="center"/>
    </xf>
    <xf numFmtId="0" fontId="58" fillId="0" borderId="18" xfId="54" applyFont="1" applyBorder="1" applyAlignment="1">
      <alignment vertical="center" wrapText="1"/>
    </xf>
    <xf numFmtId="0" fontId="59" fillId="0" borderId="47" xfId="54" applyFont="1" applyBorder="1" applyAlignment="1">
      <alignment vertical="center" wrapText="1"/>
    </xf>
    <xf numFmtId="0" fontId="0" fillId="0" borderId="0" xfId="0" applyAlignment="1">
      <alignment vertical="top"/>
    </xf>
    <xf numFmtId="0" fontId="29" fillId="0" borderId="0" xfId="0" applyFont="1" applyAlignment="1">
      <alignment vertical="top"/>
    </xf>
    <xf numFmtId="0" fontId="29" fillId="0" borderId="30" xfId="0" applyFont="1" applyBorder="1" applyAlignment="1">
      <alignment vertical="top" wrapText="1"/>
    </xf>
    <xf numFmtId="0" fontId="36" fillId="0" borderId="46" xfId="0" applyFont="1" applyBorder="1"/>
    <xf numFmtId="0" fontId="36" fillId="0" borderId="36" xfId="0" applyFont="1" applyBorder="1"/>
    <xf numFmtId="0" fontId="36" fillId="0" borderId="37" xfId="0" applyFont="1" applyBorder="1"/>
    <xf numFmtId="0" fontId="25" fillId="6" borderId="18" xfId="0" applyFont="1" applyFill="1" applyBorder="1"/>
    <xf numFmtId="0" fontId="13" fillId="0" borderId="54" xfId="0" applyFont="1" applyBorder="1" applyAlignment="1">
      <alignment vertical="center" wrapText="1"/>
    </xf>
    <xf numFmtId="0" fontId="8" fillId="0" borderId="33" xfId="0" applyFont="1" applyBorder="1"/>
    <xf numFmtId="0" fontId="13" fillId="0" borderId="41" xfId="0" applyFont="1" applyBorder="1" applyAlignment="1">
      <alignment vertical="center" wrapText="1"/>
    </xf>
    <xf numFmtId="0" fontId="8" fillId="0" borderId="18" xfId="0" applyFont="1" applyBorder="1"/>
    <xf numFmtId="0" fontId="13" fillId="0" borderId="47" xfId="0" applyFont="1" applyBorder="1" applyAlignment="1">
      <alignment vertical="center" wrapText="1"/>
    </xf>
    <xf numFmtId="0" fontId="37" fillId="0" borderId="31" xfId="0" applyFont="1" applyBorder="1" applyAlignment="1">
      <alignment vertical="center" wrapText="1"/>
    </xf>
    <xf numFmtId="0" fontId="37" fillId="0" borderId="17" xfId="0" applyFont="1" applyBorder="1" applyAlignment="1">
      <alignment vertical="center" wrapText="1"/>
    </xf>
    <xf numFmtId="0" fontId="13" fillId="0" borderId="16" xfId="0" applyFont="1" applyBorder="1" applyAlignment="1">
      <alignment vertical="center" wrapText="1"/>
    </xf>
    <xf numFmtId="0" fontId="37" fillId="0" borderId="13" xfId="0" applyFont="1" applyBorder="1" applyAlignment="1">
      <alignment vertical="center" wrapText="1"/>
    </xf>
    <xf numFmtId="0" fontId="37" fillId="0" borderId="17" xfId="0" applyFont="1" applyBorder="1"/>
    <xf numFmtId="0" fontId="8" fillId="0" borderId="16" xfId="0" applyFont="1" applyBorder="1"/>
    <xf numFmtId="0" fontId="8" fillId="0" borderId="13" xfId="0" applyFont="1" applyBorder="1"/>
    <xf numFmtId="167" fontId="2" fillId="11" borderId="0" xfId="12" applyNumberFormat="1" applyFont="1" applyFill="1" applyBorder="1" applyAlignment="1">
      <alignment horizontal="center" vertical="center"/>
    </xf>
    <xf numFmtId="0" fontId="0" fillId="0" borderId="41" xfId="0" applyBorder="1"/>
    <xf numFmtId="166" fontId="0" fillId="9" borderId="19" xfId="0" applyNumberFormat="1" applyFill="1" applyBorder="1" applyAlignment="1">
      <alignment horizontal="center"/>
    </xf>
    <xf numFmtId="0" fontId="60" fillId="0" borderId="0" xfId="55"/>
    <xf numFmtId="0" fontId="28" fillId="0" borderId="0" xfId="2" applyFont="1" applyAlignment="1" applyProtection="1">
      <alignment horizontal="center" vertical="top" wrapText="1"/>
      <protection hidden="1"/>
    </xf>
    <xf numFmtId="0" fontId="13" fillId="20" borderId="15" xfId="0" applyFont="1" applyFill="1" applyBorder="1" applyAlignment="1">
      <alignment horizontal="center" vertical="center" wrapText="1"/>
    </xf>
    <xf numFmtId="0" fontId="13" fillId="20" borderId="14" xfId="0" applyFont="1" applyFill="1" applyBorder="1" applyAlignment="1">
      <alignment horizontal="center" vertical="center" wrapText="1"/>
    </xf>
    <xf numFmtId="0" fontId="2" fillId="12" borderId="15" xfId="0" applyFont="1" applyFill="1" applyBorder="1" applyAlignment="1">
      <alignment horizontal="center"/>
    </xf>
    <xf numFmtId="0" fontId="2" fillId="12" borderId="14" xfId="0" applyFont="1" applyFill="1" applyBorder="1" applyAlignment="1">
      <alignment horizontal="center"/>
    </xf>
    <xf numFmtId="164" fontId="15" fillId="14" borderId="17" xfId="10" applyNumberFormat="1" applyFont="1" applyFill="1" applyBorder="1" applyAlignment="1">
      <alignment horizontal="center" vertical="center"/>
    </xf>
    <xf numFmtId="164" fontId="15" fillId="14" borderId="13" xfId="10" applyNumberFormat="1" applyFont="1" applyFill="1" applyBorder="1" applyAlignment="1">
      <alignment horizontal="center" vertical="center"/>
    </xf>
    <xf numFmtId="0" fontId="0" fillId="26" borderId="17" xfId="0" applyFill="1" applyBorder="1" applyAlignment="1">
      <alignment horizontal="center" vertical="center" wrapText="1"/>
    </xf>
    <xf numFmtId="0" fontId="0" fillId="26" borderId="16" xfId="0" applyFill="1" applyBorder="1" applyAlignment="1">
      <alignment horizontal="center" vertical="center" wrapText="1"/>
    </xf>
    <xf numFmtId="0" fontId="0" fillId="26" borderId="13" xfId="0" applyFill="1" applyBorder="1" applyAlignment="1">
      <alignment horizontal="center" vertical="center" wrapText="1"/>
    </xf>
    <xf numFmtId="0" fontId="0" fillId="26" borderId="4" xfId="0" applyFill="1" applyBorder="1" applyAlignment="1">
      <alignment horizontal="center" wrapText="1"/>
    </xf>
    <xf numFmtId="0" fontId="0" fillId="13" borderId="17" xfId="0" applyFill="1" applyBorder="1" applyAlignment="1">
      <alignment horizontal="center" vertical="center" wrapText="1"/>
    </xf>
    <xf numFmtId="0" fontId="0" fillId="13" borderId="13" xfId="0" applyFill="1" applyBorder="1" applyAlignment="1">
      <alignment horizontal="center" vertical="center" wrapText="1"/>
    </xf>
    <xf numFmtId="0" fontId="4" fillId="27" borderId="17" xfId="0" applyFont="1" applyFill="1" applyBorder="1" applyAlignment="1">
      <alignment horizontal="center" vertical="center"/>
    </xf>
    <xf numFmtId="0" fontId="4" fillId="27" borderId="13" xfId="0" applyFont="1" applyFill="1" applyBorder="1" applyAlignment="1">
      <alignment horizontal="center" vertical="center"/>
    </xf>
    <xf numFmtId="164" fontId="15" fillId="14" borderId="4" xfId="10" applyNumberFormat="1" applyFont="1" applyFill="1" applyBorder="1" applyAlignment="1">
      <alignment horizontal="center" vertical="center"/>
    </xf>
    <xf numFmtId="0" fontId="0" fillId="26" borderId="7" xfId="0" applyFill="1" applyBorder="1" applyAlignment="1">
      <alignment vertical="top" wrapText="1"/>
    </xf>
    <xf numFmtId="0" fontId="0" fillId="26" borderId="6" xfId="0" applyFill="1" applyBorder="1" applyAlignment="1">
      <alignment vertical="top" wrapText="1"/>
    </xf>
    <xf numFmtId="0" fontId="0" fillId="26" borderId="5" xfId="0" applyFill="1" applyBorder="1" applyAlignment="1">
      <alignment vertical="top" wrapText="1"/>
    </xf>
    <xf numFmtId="0" fontId="0" fillId="26" borderId="7" xfId="0" applyFill="1" applyBorder="1" applyAlignment="1">
      <alignment horizontal="left" vertical="top" wrapText="1"/>
    </xf>
    <xf numFmtId="0" fontId="0" fillId="26" borderId="6" xfId="0" applyFill="1" applyBorder="1" applyAlignment="1">
      <alignment horizontal="left" vertical="top" wrapText="1"/>
    </xf>
    <xf numFmtId="0" fontId="0" fillId="26" borderId="5" xfId="0" applyFill="1" applyBorder="1" applyAlignment="1">
      <alignment horizontal="left" vertical="top" wrapText="1"/>
    </xf>
    <xf numFmtId="0" fontId="2" fillId="5" borderId="23" xfId="0" applyFont="1" applyFill="1" applyBorder="1" applyAlignment="1">
      <alignment horizontal="left" vertical="center" wrapText="1"/>
    </xf>
    <xf numFmtId="0" fontId="2" fillId="5" borderId="32" xfId="0" applyFont="1" applyFill="1" applyBorder="1" applyAlignment="1">
      <alignment horizontal="left" vertical="center" wrapText="1"/>
    </xf>
    <xf numFmtId="0" fontId="2" fillId="5" borderId="24" xfId="0" applyFont="1" applyFill="1" applyBorder="1" applyAlignment="1">
      <alignment horizontal="left" vertical="center" wrapText="1"/>
    </xf>
    <xf numFmtId="0" fontId="2" fillId="5" borderId="12"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2" fillId="10" borderId="23" xfId="0" applyFont="1" applyFill="1" applyBorder="1" applyAlignment="1">
      <alignment horizontal="center" vertical="center" wrapText="1"/>
    </xf>
    <xf numFmtId="0" fontId="2" fillId="10" borderId="24" xfId="0" applyFont="1" applyFill="1" applyBorder="1" applyAlignment="1">
      <alignment horizontal="center" vertical="center" wrapText="1"/>
    </xf>
    <xf numFmtId="176" fontId="27" fillId="34" borderId="17" xfId="0" applyNumberFormat="1" applyFont="1" applyFill="1" applyBorder="1" applyAlignment="1">
      <alignment horizontal="center" vertical="center"/>
    </xf>
    <xf numFmtId="176" fontId="27" fillId="34" borderId="13" xfId="0" applyNumberFormat="1" applyFont="1" applyFill="1" applyBorder="1" applyAlignment="1">
      <alignment horizontal="center" vertical="center"/>
    </xf>
    <xf numFmtId="0" fontId="0" fillId="26" borderId="4" xfId="0" applyFill="1" applyBorder="1" applyAlignment="1">
      <alignment horizontal="center" vertical="center" wrapText="1"/>
    </xf>
    <xf numFmtId="0" fontId="0" fillId="0" borderId="4" xfId="0" applyBorder="1" applyAlignment="1">
      <alignment horizontal="center" vertical="center" wrapText="1"/>
    </xf>
    <xf numFmtId="0" fontId="0" fillId="5" borderId="23" xfId="0" applyFill="1" applyBorder="1" applyAlignment="1">
      <alignment horizontal="left" vertical="top" wrapText="1"/>
    </xf>
    <xf numFmtId="0" fontId="0" fillId="5" borderId="32" xfId="0" applyFill="1" applyBorder="1" applyAlignment="1">
      <alignment horizontal="left" vertical="top" wrapText="1"/>
    </xf>
    <xf numFmtId="0" fontId="0" fillId="5" borderId="24" xfId="0" applyFill="1" applyBorder="1" applyAlignment="1">
      <alignment horizontal="left" vertical="top" wrapText="1"/>
    </xf>
    <xf numFmtId="0" fontId="0" fillId="5" borderId="12" xfId="0" applyFill="1" applyBorder="1" applyAlignment="1">
      <alignment horizontal="left" vertical="top" wrapText="1"/>
    </xf>
    <xf numFmtId="0" fontId="0" fillId="5" borderId="11" xfId="0" applyFill="1" applyBorder="1" applyAlignment="1">
      <alignment horizontal="left" vertical="top" wrapText="1"/>
    </xf>
    <xf numFmtId="0" fontId="0" fillId="5" borderId="10" xfId="0" applyFill="1" applyBorder="1" applyAlignment="1">
      <alignment horizontal="left" vertical="top" wrapText="1"/>
    </xf>
    <xf numFmtId="0" fontId="0" fillId="5" borderId="7" xfId="0" applyFill="1" applyBorder="1" applyAlignment="1">
      <alignment horizontal="left" vertical="top" wrapText="1"/>
    </xf>
    <xf numFmtId="0" fontId="0" fillId="5" borderId="6" xfId="0" applyFill="1" applyBorder="1" applyAlignment="1">
      <alignment horizontal="left" vertical="top" wrapText="1"/>
    </xf>
    <xf numFmtId="0" fontId="0" fillId="5" borderId="5" xfId="0" applyFill="1" applyBorder="1" applyAlignment="1">
      <alignment horizontal="left" vertical="top" wrapText="1"/>
    </xf>
    <xf numFmtId="0" fontId="0" fillId="20" borderId="17" xfId="0" applyFill="1" applyBorder="1" applyAlignment="1">
      <alignment horizontal="center" vertical="center" wrapText="1"/>
    </xf>
    <xf numFmtId="0" fontId="0" fillId="20" borderId="13" xfId="0" applyFill="1" applyBorder="1" applyAlignment="1">
      <alignment horizontal="center" vertical="center" wrapText="1"/>
    </xf>
    <xf numFmtId="0" fontId="2" fillId="19" borderId="0" xfId="0" applyFont="1" applyFill="1" applyAlignment="1">
      <alignment horizontal="center" vertical="center" textRotation="90"/>
    </xf>
    <xf numFmtId="0" fontId="38" fillId="2" borderId="15" xfId="0" applyFont="1" applyFill="1" applyBorder="1" applyAlignment="1">
      <alignment horizontal="left" vertical="center" wrapText="1"/>
    </xf>
    <xf numFmtId="0" fontId="38" fillId="2" borderId="19"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0" fillId="0" borderId="4" xfId="0" applyBorder="1" applyAlignment="1">
      <alignment horizontal="center" vertical="center"/>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13" xfId="0" applyBorder="1" applyAlignment="1">
      <alignment horizontal="center" vertical="center" wrapText="1"/>
    </xf>
    <xf numFmtId="0" fontId="4" fillId="27" borderId="4" xfId="0" applyFont="1" applyFill="1" applyBorder="1" applyAlignment="1">
      <alignment horizontal="center" vertical="center"/>
    </xf>
    <xf numFmtId="0" fontId="0" fillId="26" borderId="9" xfId="0" applyFill="1" applyBorder="1" applyAlignment="1">
      <alignment horizontal="left" vertical="top" wrapText="1"/>
    </xf>
    <xf numFmtId="0" fontId="0" fillId="26" borderId="0" xfId="0" applyFill="1" applyAlignment="1">
      <alignment horizontal="left" vertical="top" wrapText="1"/>
    </xf>
    <xf numFmtId="0" fontId="0" fillId="26" borderId="8" xfId="0" applyFill="1" applyBorder="1" applyAlignment="1">
      <alignment horizontal="left" vertical="top" wrapText="1"/>
    </xf>
    <xf numFmtId="166" fontId="2" fillId="11" borderId="0" xfId="0" applyNumberFormat="1" applyFont="1" applyFill="1" applyAlignment="1">
      <alignment horizontal="right"/>
    </xf>
    <xf numFmtId="166" fontId="2" fillId="11" borderId="41" xfId="0" applyNumberFormat="1" applyFont="1" applyFill="1" applyBorder="1" applyAlignment="1">
      <alignment horizontal="right"/>
    </xf>
    <xf numFmtId="167" fontId="37" fillId="2" borderId="15" xfId="0" applyNumberFormat="1" applyFont="1" applyFill="1" applyBorder="1" applyAlignment="1">
      <alignment horizontal="center"/>
    </xf>
    <xf numFmtId="167" fontId="37" fillId="2" borderId="19" xfId="0" applyNumberFormat="1" applyFont="1" applyFill="1" applyBorder="1" applyAlignment="1">
      <alignment horizontal="center"/>
    </xf>
    <xf numFmtId="167" fontId="37" fillId="2" borderId="14" xfId="0" applyNumberFormat="1" applyFont="1" applyFill="1" applyBorder="1" applyAlignment="1">
      <alignment horizontal="center"/>
    </xf>
    <xf numFmtId="0" fontId="2" fillId="0" borderId="4" xfId="0" applyFont="1" applyBorder="1" applyAlignment="1">
      <alignment horizontal="center" vertical="center" wrapText="1"/>
    </xf>
    <xf numFmtId="0" fontId="0" fillId="0" borderId="4" xfId="0" applyBorder="1" applyAlignment="1">
      <alignment horizontal="center" textRotation="90" wrapText="1"/>
    </xf>
    <xf numFmtId="0" fontId="0" fillId="0" borderId="4" xfId="0" applyBorder="1" applyAlignment="1">
      <alignment horizontal="center"/>
    </xf>
    <xf numFmtId="1" fontId="0" fillId="0" borderId="4" xfId="0" applyNumberFormat="1" applyBorder="1" applyAlignment="1">
      <alignment horizontal="center"/>
    </xf>
    <xf numFmtId="0" fontId="0" fillId="0" borderId="41" xfId="0" applyBorder="1" applyAlignment="1">
      <alignment horizontal="center" textRotation="90"/>
    </xf>
    <xf numFmtId="0" fontId="0" fillId="0" borderId="0" xfId="0" applyAlignment="1">
      <alignment horizontal="center" textRotation="90" wrapText="1"/>
    </xf>
    <xf numFmtId="0" fontId="0" fillId="0" borderId="15" xfId="0" applyBorder="1" applyAlignment="1">
      <alignment horizontal="center"/>
    </xf>
    <xf numFmtId="0" fontId="0" fillId="0" borderId="14" xfId="0" applyBorder="1" applyAlignment="1">
      <alignment horizontal="center"/>
    </xf>
    <xf numFmtId="164" fontId="2" fillId="0" borderId="15" xfId="0" applyNumberFormat="1" applyFont="1" applyBorder="1" applyAlignment="1">
      <alignment horizontal="center"/>
    </xf>
    <xf numFmtId="164" fontId="2" fillId="0" borderId="19" xfId="0" applyNumberFormat="1" applyFont="1" applyBorder="1" applyAlignment="1">
      <alignment horizontal="center"/>
    </xf>
    <xf numFmtId="0" fontId="6" fillId="0" borderId="4" xfId="2" applyFont="1" applyBorder="1" applyAlignment="1">
      <alignment horizontal="center" vertical="center" wrapText="1"/>
    </xf>
    <xf numFmtId="0" fontId="6" fillId="0" borderId="0" xfId="2" applyFont="1" applyAlignment="1">
      <alignment horizontal="center" vertical="center" wrapText="1"/>
    </xf>
    <xf numFmtId="0" fontId="6" fillId="0" borderId="34" xfId="2" applyFont="1" applyBorder="1" applyAlignment="1">
      <alignment horizontal="center" vertical="center" wrapText="1"/>
    </xf>
    <xf numFmtId="168" fontId="0" fillId="0" borderId="15" xfId="0" applyNumberFormat="1" applyBorder="1" applyAlignment="1">
      <alignment horizontal="center"/>
    </xf>
    <xf numFmtId="168" fontId="0" fillId="0" borderId="19" xfId="0" applyNumberFormat="1" applyBorder="1" applyAlignment="1">
      <alignment horizontal="center"/>
    </xf>
    <xf numFmtId="168" fontId="0" fillId="0" borderId="14" xfId="0" applyNumberFormat="1" applyBorder="1" applyAlignment="1">
      <alignment horizontal="center"/>
    </xf>
    <xf numFmtId="164" fontId="5" fillId="0" borderId="49" xfId="2" applyNumberFormat="1" applyBorder="1" applyAlignment="1">
      <alignment horizontal="center" vertical="center" wrapText="1"/>
    </xf>
    <xf numFmtId="164" fontId="5" fillId="0" borderId="1" xfId="2" applyNumberFormat="1" applyBorder="1" applyAlignment="1">
      <alignment horizontal="center" vertical="center" wrapText="1"/>
    </xf>
    <xf numFmtId="0" fontId="6" fillId="0" borderId="20" xfId="2" applyFont="1" applyBorder="1" applyAlignment="1">
      <alignment horizontal="center" vertical="center" wrapText="1"/>
    </xf>
    <xf numFmtId="0" fontId="2" fillId="12" borderId="15" xfId="0" applyFont="1" applyFill="1" applyBorder="1" applyAlignment="1">
      <alignment horizontal="center" vertical="center"/>
    </xf>
    <xf numFmtId="0" fontId="2" fillId="12" borderId="19" xfId="0" applyFont="1" applyFill="1" applyBorder="1" applyAlignment="1">
      <alignment horizontal="center" vertical="center"/>
    </xf>
    <xf numFmtId="0" fontId="2" fillId="12" borderId="14" xfId="0" applyFont="1" applyFill="1" applyBorder="1" applyAlignment="1">
      <alignment horizontal="center" vertical="center"/>
    </xf>
  </cellXfs>
  <cellStyles count="56">
    <cellStyle name="Comma" xfId="10" builtinId="3"/>
    <cellStyle name="Comma [0]" xfId="11" builtinId="6"/>
    <cellStyle name="Comma [0] 2" xfId="16" xr:uid="{43BB784C-5440-4E43-8B06-4C0EC8EE3DB1}"/>
    <cellStyle name="Comma [0] 2 2" xfId="29" xr:uid="{E4979C85-351C-4353-B69F-AFE3E39208D7}"/>
    <cellStyle name="Comma [0] 2 2 2" xfId="50" xr:uid="{919BA1D4-9A0E-451E-87D8-D26A2A2B4CED}"/>
    <cellStyle name="Comma [0] 2 3" xfId="39" xr:uid="{E6831CC0-EE6D-44AC-AC93-FA3BEF897DFB}"/>
    <cellStyle name="Comma [0] 3" xfId="24" xr:uid="{4A9D3711-74ED-4D37-B2DA-1B8772DAC912}"/>
    <cellStyle name="Comma [0] 3 2" xfId="45" xr:uid="{C9208936-00D3-452A-BE13-7D43F0F74CD8}"/>
    <cellStyle name="Comma [0] 4" xfId="34" xr:uid="{6085B93C-22DA-4C64-8D5E-25086D00A86C}"/>
    <cellStyle name="Comma 2" xfId="5" xr:uid="{A8DA56E6-A3AD-42A1-AB53-0A3F718BA095}"/>
    <cellStyle name="Comma 2 2" xfId="13" xr:uid="{B03AB733-39FA-434E-B664-CE2C38628B67}"/>
    <cellStyle name="Comma 2 2 2" xfId="26" xr:uid="{1BEB4A06-8AFB-4C11-8600-3420C9748070}"/>
    <cellStyle name="Comma 2 2 2 2" xfId="47" xr:uid="{6A8EBBD5-ADD4-4828-8E4B-D1E81686A5AE}"/>
    <cellStyle name="Comma 2 2 3" xfId="36" xr:uid="{AA6F831C-0C00-4A62-B5F8-9F1210ACCF50}"/>
    <cellStyle name="Comma 2 3" xfId="21" xr:uid="{D5881F86-0996-422E-BE83-42B4842ED503}"/>
    <cellStyle name="Comma 2 3 2" xfId="42" xr:uid="{EDA557D8-5CD7-47FE-9635-CB9E5D938F8E}"/>
    <cellStyle name="Comma 2 4" xfId="31" xr:uid="{CB907B60-A334-4AF9-A6E5-CFF41855C783}"/>
    <cellStyle name="Comma 3" xfId="15" xr:uid="{C0859B30-072E-4ABA-B820-06E106D437D4}"/>
    <cellStyle name="Comma 3 2" xfId="28" xr:uid="{7C719329-5EA3-4668-A60E-978148533190}"/>
    <cellStyle name="Comma 3 2 2" xfId="49" xr:uid="{EA571D70-CE42-4332-9C87-CED728041DB2}"/>
    <cellStyle name="Comma 3 3" xfId="38" xr:uid="{A7255587-9DFE-47B0-8D15-063B70C95B38}"/>
    <cellStyle name="Comma 4" xfId="23" xr:uid="{14F3EB5B-AD0E-4A90-8318-49D0D3C4181E}"/>
    <cellStyle name="Comma 4 2" xfId="44" xr:uid="{DBAAE9B4-0794-474E-B0F2-F89FF55714FF}"/>
    <cellStyle name="Comma 5" xfId="33" xr:uid="{559A9414-981E-4B97-AA7E-C3459C96A834}"/>
    <cellStyle name="Comma 6" xfId="41" xr:uid="{9E4975AB-6E7B-4303-B49F-FD6B576FEB0A}"/>
    <cellStyle name="Comma 7" xfId="52" xr:uid="{834C9538-42C8-4789-8E3F-E3DC90289774}"/>
    <cellStyle name="Comma 8" xfId="53" xr:uid="{6E74CD86-4185-430E-ABCD-7F0AB815C87A}"/>
    <cellStyle name="Currency [0]" xfId="12" builtinId="7"/>
    <cellStyle name="Currency [0] 2" xfId="17" xr:uid="{1F9AB5FD-3EF9-4E8A-827E-BB06BC2485F1}"/>
    <cellStyle name="Currency [0] 2 2" xfId="30" xr:uid="{EDACFB6D-8DC9-465D-86D8-D204768F8A94}"/>
    <cellStyle name="Currency [0] 2 2 2" xfId="51" xr:uid="{AA79ABCD-A16E-4000-B4B3-0DA769192B8A}"/>
    <cellStyle name="Currency [0] 2 3" xfId="40" xr:uid="{C31A8433-3AC2-4C0A-9034-65DDB1C6D8E1}"/>
    <cellStyle name="Currency [0] 3" xfId="25" xr:uid="{23F1A2FE-7BCE-49A7-B830-977F72770D36}"/>
    <cellStyle name="Currency [0] 3 2" xfId="46" xr:uid="{55B2ECF3-31FA-4F84-B35A-6B942EAF6FC1}"/>
    <cellStyle name="Currency [0] 4" xfId="35" xr:uid="{87C573C7-A12D-4BAE-A836-F3B3EA7007D9}"/>
    <cellStyle name="Currency 2" xfId="6" xr:uid="{D74DF9EA-5948-446D-B0EC-A33F85299B86}"/>
    <cellStyle name="Currency 2 2" xfId="14" xr:uid="{51B02540-E62E-467E-8121-BFFDEB24DD2C}"/>
    <cellStyle name="Currency 2 2 2" xfId="27" xr:uid="{B419B3DA-FA40-43DA-8207-ABEFD9EB360C}"/>
    <cellStyle name="Currency 2 2 2 2" xfId="48" xr:uid="{AE335BBD-B120-4384-AC26-8D861A2D5DC5}"/>
    <cellStyle name="Currency 2 2 3" xfId="37" xr:uid="{FEB7E068-F680-48DA-984E-14F68E694A07}"/>
    <cellStyle name="Currency 2 3" xfId="22" xr:uid="{6C244A4F-8172-4D2D-9992-8BFD04283068}"/>
    <cellStyle name="Currency 2 3 2" xfId="43" xr:uid="{160A32D0-B9BA-47E0-957D-132365355492}"/>
    <cellStyle name="Currency 2 4" xfId="32" xr:uid="{0C6A513B-2217-41E3-8B88-9C4BADC3CB7F}"/>
    <cellStyle name="H0 Header0" xfId="20" xr:uid="{7CE1251A-0406-40B9-9EE6-A837C5A041D2}"/>
    <cellStyle name="H1 Header1" xfId="19" xr:uid="{B98269DE-4249-4C39-A60D-D86425B46CEF}"/>
    <cellStyle name="Hyperlink" xfId="55" builtinId="8"/>
    <cellStyle name="Hyperlink 2" xfId="7" xr:uid="{7B6B4753-E28B-4134-A313-B6425B497A26}"/>
    <cellStyle name="Normal" xfId="0" builtinId="0"/>
    <cellStyle name="Normal 2" xfId="2" xr:uid="{196C665E-8686-4E66-8F63-D9914512C4A5}"/>
    <cellStyle name="Normal 2 2" xfId="4" xr:uid="{C93AFC50-0BF0-4F18-9A02-48100A15DA90}"/>
    <cellStyle name="Normal 226" xfId="3" xr:uid="{56A6C858-54D5-43A2-ADE3-4D1865599B72}"/>
    <cellStyle name="Normal 3" xfId="9" xr:uid="{2A8D3407-5E3D-4A63-9915-E1F8958C9022}"/>
    <cellStyle name="Normal 4" xfId="54" xr:uid="{8948B68C-9238-4B0E-954F-6D427BBC8021}"/>
    <cellStyle name="Normal_Power FM devel v_002" xfId="1" xr:uid="{D779C252-159F-4721-B36A-2B0B28FC9066}"/>
    <cellStyle name="Per cent" xfId="8" builtinId="5"/>
    <cellStyle name="SH Sheet_Header" xfId="18" xr:uid="{80965834-06BD-47D8-BF72-13A2E84BFDC4}"/>
  </cellStyles>
  <dxfs count="62">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7E92"/>
      <color rgb="FFF5FBE1"/>
      <color rgb="FF375623"/>
      <color rgb="FFFFB8A7"/>
      <color rgb="FFE2CFF1"/>
      <color rgb="FFFFDAD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Forecast</a:t>
            </a:r>
            <a:r>
              <a:rPr lang="en-GB" b="1" baseline="0"/>
              <a:t> of Total Project Costs (Per Tree)</a:t>
            </a:r>
            <a:endParaRPr lang="en-GB"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manualLayout>
          <c:layoutTarget val="inner"/>
          <c:xMode val="edge"/>
          <c:yMode val="edge"/>
          <c:x val="9.6984075176050177E-2"/>
          <c:y val="0.10174834907902341"/>
          <c:w val="0.81200250369096749"/>
          <c:h val="0.89825161745438875"/>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E8F-4811-AFAB-AADE5DF9A9B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E8F-4811-AFAB-AADE5DF9A9B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E8F-4811-AFAB-AADE5DF9A9B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E8F-4811-AFAB-AADE5DF9A9B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E8F-4811-AFAB-AADE5DF9A9B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E8F-4811-AFAB-AADE5DF9A9B6}"/>
              </c:ext>
            </c:extLst>
          </c:dPt>
          <c:dLbls>
            <c:dLbl>
              <c:idx val="0"/>
              <c:layout>
                <c:manualLayout>
                  <c:x val="-6.2849352082566014E-3"/>
                  <c:y val="-7.20396217919856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E8F-4811-AFAB-AADE5DF9A9B6}"/>
                </c:ext>
              </c:extLst>
            </c:dLbl>
            <c:dLbl>
              <c:idx val="1"/>
              <c:layout>
                <c:manualLayout>
                  <c:x val="0.10893887694311309"/>
                  <c:y val="-2.161188653759567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E8F-4811-AFAB-AADE5DF9A9B6}"/>
                </c:ext>
              </c:extLst>
            </c:dLbl>
            <c:dLbl>
              <c:idx val="2"/>
              <c:layout>
                <c:manualLayout>
                  <c:x val="5.4469438471556546E-2"/>
                  <c:y val="1.620891490319675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E8F-4811-AFAB-AADE5DF9A9B6}"/>
                </c:ext>
              </c:extLst>
            </c:dLbl>
            <c:dLbl>
              <c:idx val="5"/>
              <c:layout>
                <c:manualLayout>
                  <c:x val="-0.19273801305320007"/>
                  <c:y val="-3.061683926159389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EE8F-4811-AFAB-AADE5DF9A9B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'Summary Sheet'!$B$8:$B$13</c:f>
              <c:strCache>
                <c:ptCount val="6"/>
                <c:pt idx="0">
                  <c:v>Pre-planting costs</c:v>
                </c:pt>
                <c:pt idx="1">
                  <c:v>Tree purchasing costs</c:v>
                </c:pt>
                <c:pt idx="2">
                  <c:v>Tree planting costs</c:v>
                </c:pt>
                <c:pt idx="3">
                  <c:v>Tree establishment and early maintenance costs</c:v>
                </c:pt>
                <c:pt idx="4">
                  <c:v>Long-term maintenance</c:v>
                </c:pt>
                <c:pt idx="5">
                  <c:v>Monitoring, Reporting and Verification (MRV) costs</c:v>
                </c:pt>
              </c:strCache>
            </c:strRef>
          </c:cat>
          <c:val>
            <c:numRef>
              <c:f>'Summary Sheet'!$D$8:$D$13</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659-4272-B8EA-47E70C8E9DC7}"/>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xdr:col>
      <xdr:colOff>9525</xdr:colOff>
      <xdr:row>37</xdr:row>
      <xdr:rowOff>41350</xdr:rowOff>
    </xdr:from>
    <xdr:ext cx="2556795" cy="320600"/>
    <xdr:pic>
      <xdr:nvPicPr>
        <xdr:cNvPr id="2" name="Picture 1" descr="A picture containing logo&#10;&#10;Description automatically generated">
          <a:extLst>
            <a:ext uri="{FF2B5EF4-FFF2-40B4-BE49-F238E27FC236}">
              <a16:creationId xmlns:a16="http://schemas.microsoft.com/office/drawing/2014/main" id="{DF9FE302-7B66-4815-A9AF-6F864C50324F}"/>
            </a:ext>
          </a:extLst>
        </xdr:cNvPr>
        <xdr:cNvPicPr/>
      </xdr:nvPicPr>
      <xdr:blipFill rotWithShape="1">
        <a:blip xmlns:r="http://schemas.openxmlformats.org/officeDocument/2006/relationships" r:embed="rId1" cstate="hqprint">
          <a:duotone>
            <a:prstClr val="black"/>
            <a:srgbClr val="FF6600">
              <a:tint val="45000"/>
              <a:satMod val="400000"/>
            </a:srgbClr>
          </a:duotone>
          <a:extLst>
            <a:ext uri="{28A0092B-C50C-407E-A947-70E740481C1C}">
              <a14:useLocalDpi xmlns:a14="http://schemas.microsoft.com/office/drawing/2010/main"/>
            </a:ext>
          </a:extLst>
        </a:blip>
        <a:srcRect/>
        <a:stretch/>
      </xdr:blipFill>
      <xdr:spPr>
        <a:xfrm>
          <a:off x="409575" y="12014275"/>
          <a:ext cx="2556795" cy="320600"/>
        </a:xfrm>
        <a:prstGeom prst="rect">
          <a:avLst/>
        </a:prstGeom>
      </xdr:spPr>
    </xdr:pic>
    <xdr:clientData/>
  </xdr:oneCellAnchor>
  <xdr:oneCellAnchor>
    <xdr:from>
      <xdr:col>2</xdr:col>
      <xdr:colOff>16094</xdr:colOff>
      <xdr:row>3</xdr:row>
      <xdr:rowOff>97208</xdr:rowOff>
    </xdr:from>
    <xdr:ext cx="5997401" cy="580310"/>
    <xdr:pic>
      <xdr:nvPicPr>
        <xdr:cNvPr id="3" name="Picture 2">
          <a:extLst>
            <a:ext uri="{FF2B5EF4-FFF2-40B4-BE49-F238E27FC236}">
              <a16:creationId xmlns:a16="http://schemas.microsoft.com/office/drawing/2014/main" id="{84CAD2B7-EEEB-4D70-B821-3D870E1094DC}"/>
            </a:ext>
          </a:extLst>
        </xdr:cNvPr>
        <xdr:cNvPicPr>
          <a:picLocks noChangeAspect="1"/>
        </xdr:cNvPicPr>
      </xdr:nvPicPr>
      <xdr:blipFill>
        <a:blip xmlns:r="http://schemas.openxmlformats.org/officeDocument/2006/relationships" r:embed="rId2"/>
        <a:stretch>
          <a:fillRect/>
        </a:stretch>
      </xdr:blipFill>
      <xdr:spPr>
        <a:xfrm>
          <a:off x="492344" y="611558"/>
          <a:ext cx="5997401" cy="58031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4</xdr:col>
      <xdr:colOff>241167</xdr:colOff>
      <xdr:row>3</xdr:row>
      <xdr:rowOff>200931</xdr:rowOff>
    </xdr:from>
    <xdr:to>
      <xdr:col>14</xdr:col>
      <xdr:colOff>285750</xdr:colOff>
      <xdr:row>17</xdr:row>
      <xdr:rowOff>0</xdr:rowOff>
    </xdr:to>
    <xdr:graphicFrame macro="">
      <xdr:nvGraphicFramePr>
        <xdr:cNvPr id="28" name="Chart 1">
          <a:extLst>
            <a:ext uri="{FF2B5EF4-FFF2-40B4-BE49-F238E27FC236}">
              <a16:creationId xmlns:a16="http://schemas.microsoft.com/office/drawing/2014/main" id="{D279B274-79EF-A4CA-8856-ABCD4AC997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reativecommons.org/licenses/by/4.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3468C-60B9-4E60-B485-789FBA30316F}">
  <sheetPr codeName="Sheet7">
    <tabColor rgb="FF1E243A"/>
    <pageSetUpPr fitToPage="1"/>
  </sheetPr>
  <dimension ref="A1:E39"/>
  <sheetViews>
    <sheetView showGridLines="0" tabSelected="1" zoomScale="90" zoomScaleNormal="90" workbookViewId="0"/>
  </sheetViews>
  <sheetFormatPr defaultColWidth="0" defaultRowHeight="0" customHeight="1" zeroHeight="1"/>
  <cols>
    <col min="1" max="2" width="2.85546875" style="75" customWidth="1"/>
    <col min="3" max="3" width="107.28515625" style="75" bestFit="1" customWidth="1"/>
    <col min="4" max="5" width="2.85546875" style="75" customWidth="1"/>
    <col min="6" max="15" width="0" style="75" hidden="1" customWidth="1"/>
    <col min="16" max="16384" width="0" style="75" hidden="1"/>
  </cols>
  <sheetData>
    <row r="1" spans="1:5" ht="14.1" customHeight="1">
      <c r="A1" s="75" t="s">
        <v>0</v>
      </c>
    </row>
    <row r="2" spans="1:5" ht="14.1" customHeight="1"/>
    <row r="3" spans="1:5" ht="30" customHeight="1">
      <c r="C3" s="84" t="s">
        <v>1</v>
      </c>
    </row>
    <row r="4" spans="1:5" ht="14.1" customHeight="1"/>
    <row r="5" spans="1:5" ht="14.1" customHeight="1"/>
    <row r="6" spans="1:5" ht="14.1" customHeight="1"/>
    <row r="7" spans="1:5" ht="14.1" customHeight="1"/>
    <row r="8" spans="1:5" ht="14.1" customHeight="1">
      <c r="C8" s="75" t="s">
        <v>2</v>
      </c>
    </row>
    <row r="9" spans="1:5" ht="14.1" customHeight="1">
      <c r="C9" s="396" t="s">
        <v>3</v>
      </c>
    </row>
    <row r="10" spans="1:5" ht="26.1" customHeight="1">
      <c r="C10" s="397" t="s">
        <v>4</v>
      </c>
      <c r="D10" s="397"/>
      <c r="E10" s="397"/>
    </row>
    <row r="11" spans="1:5" ht="14.1" customHeight="1"/>
    <row r="12" spans="1:5" ht="14.1" customHeight="1">
      <c r="C12" s="76" t="s">
        <v>5</v>
      </c>
    </row>
    <row r="13" spans="1:5" ht="14.1" customHeight="1">
      <c r="C13" s="77" t="s">
        <v>6</v>
      </c>
    </row>
    <row r="14" spans="1:5" ht="14.1" customHeight="1">
      <c r="C14" s="76"/>
    </row>
    <row r="15" spans="1:5" ht="14.1" customHeight="1">
      <c r="C15" s="76" t="s">
        <v>7</v>
      </c>
    </row>
    <row r="16" spans="1:5" ht="14.1" customHeight="1">
      <c r="C16" s="77"/>
    </row>
    <row r="17" spans="3:3" ht="14.1" customHeight="1"/>
    <row r="18" spans="3:3" ht="14.1" customHeight="1">
      <c r="C18" s="76" t="s">
        <v>8</v>
      </c>
    </row>
    <row r="19" spans="3:3" ht="14.1" customHeight="1">
      <c r="C19" s="77"/>
    </row>
    <row r="20" spans="3:3" ht="14.1" customHeight="1"/>
    <row r="21" spans="3:3" ht="14.1" customHeight="1">
      <c r="C21" s="76" t="s">
        <v>9</v>
      </c>
    </row>
    <row r="22" spans="3:3" ht="32.450000000000003" customHeight="1">
      <c r="C22" s="77"/>
    </row>
    <row r="23" spans="3:3" ht="14.1" customHeight="1">
      <c r="C23" s="78"/>
    </row>
    <row r="24" spans="3:3" ht="14.1" customHeight="1">
      <c r="C24" s="78" t="s">
        <v>10</v>
      </c>
    </row>
    <row r="25" spans="3:3" ht="14.1" customHeight="1" thickBot="1"/>
    <row r="26" spans="3:3" ht="14.1" customHeight="1">
      <c r="C26" s="79" t="s">
        <v>11</v>
      </c>
    </row>
    <row r="27" spans="3:3" ht="14.1" customHeight="1">
      <c r="C27" s="80" t="s">
        <v>12</v>
      </c>
    </row>
    <row r="28" spans="3:3" ht="14.1" customHeight="1">
      <c r="C28" s="80"/>
    </row>
    <row r="29" spans="3:3" ht="28.7" customHeight="1">
      <c r="C29" s="81" t="str">
        <f>"This financial model (the Model) has been prepared by Environmental Finance Limited (Finance Earth). Finance Earth is not responsible for the use, interpretation or completeness of the Model at any time by any user."</f>
        <v>This financial model (the Model) has been prepared by Environmental Finance Limited (Finance Earth). Finance Earth is not responsible for the use, interpretation or completeness of the Model at any time by any user.</v>
      </c>
    </row>
    <row r="30" spans="3:3" ht="38.450000000000003" customHeight="1">
      <c r="C30" s="81" t="s">
        <v>13</v>
      </c>
    </row>
    <row r="31" spans="3:3" ht="37.35" customHeight="1">
      <c r="C31" s="81" t="s">
        <v>14</v>
      </c>
    </row>
    <row r="32" spans="3:3" ht="37.35" customHeight="1">
      <c r="C32" s="81" t="s">
        <v>15</v>
      </c>
    </row>
    <row r="33" spans="1:3" ht="36">
      <c r="C33" s="81" t="s">
        <v>16</v>
      </c>
    </row>
    <row r="34" spans="1:3" ht="41.45" customHeight="1">
      <c r="C34" s="81" t="s">
        <v>17</v>
      </c>
    </row>
    <row r="35" spans="1:3" ht="48.6" thickBot="1">
      <c r="C35" s="82" t="s">
        <v>18</v>
      </c>
    </row>
    <row r="36" spans="1:3" ht="14.1" customHeight="1" thickBot="1"/>
    <row r="37" spans="1:3" s="375" customFormat="1" ht="146.1" customHeight="1" thickBot="1">
      <c r="A37" s="374"/>
      <c r="C37" s="376" t="s">
        <v>19</v>
      </c>
    </row>
    <row r="38" spans="1:3" ht="14.1" customHeight="1"/>
    <row r="39" spans="1:3" ht="14.1" customHeight="1"/>
  </sheetData>
  <mergeCells count="1">
    <mergeCell ref="C10:E10"/>
  </mergeCells>
  <hyperlinks>
    <hyperlink ref="C9" r:id="rId1" display="https://creativecommons.org/licenses/by/4.0/" xr:uid="{340C7920-730D-485A-84A5-0EC36BFBB6FA}"/>
  </hyperlinks>
  <pageMargins left="0.70866141732283472" right="0.70866141732283472" top="0.74803149606299213" bottom="0.74803149606299213" header="0.31496062992125984" footer="0.31496062992125984"/>
  <pageSetup paperSize="9" scale="9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98DA1-34F4-48BE-A35B-D2BFCCAC40CA}">
  <sheetPr>
    <tabColor theme="8" tint="0.39997558519241921"/>
  </sheetPr>
  <dimension ref="A1:EI226"/>
  <sheetViews>
    <sheetView showGridLines="0" zoomScale="80" zoomScaleNormal="80" workbookViewId="0">
      <pane ySplit="1" topLeftCell="A2" activePane="bottomLeft" state="frozen"/>
      <selection pane="bottomLeft"/>
      <selection activeCell="A65" sqref="A65:XFD65"/>
    </sheetView>
  </sheetViews>
  <sheetFormatPr defaultRowHeight="14.45" outlineLevelRow="1"/>
  <cols>
    <col min="4" max="4" width="136.85546875" bestFit="1" customWidth="1"/>
    <col min="5" max="5" width="18.140625" customWidth="1"/>
    <col min="6" max="6" width="9.85546875" customWidth="1"/>
    <col min="7" max="7" width="21.5703125" customWidth="1"/>
    <col min="8" max="8" width="11.85546875" customWidth="1"/>
    <col min="9" max="9" width="31.42578125" bestFit="1" customWidth="1"/>
    <col min="10" max="10" width="19.5703125" bestFit="1" customWidth="1"/>
    <col min="11" max="11" width="19.140625" bestFit="1" customWidth="1"/>
    <col min="12" max="12" width="16.5703125" bestFit="1" customWidth="1"/>
  </cols>
  <sheetData>
    <row r="1" spans="1:139" ht="25.5" thickBot="1">
      <c r="A1" s="262" t="s">
        <v>433</v>
      </c>
      <c r="B1" s="62"/>
      <c r="C1" s="62"/>
      <c r="D1" s="173"/>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row>
    <row r="2" spans="1:139">
      <c r="A2" s="207" t="s">
        <v>374</v>
      </c>
    </row>
    <row r="3" spans="1:139">
      <c r="A3" s="22"/>
    </row>
    <row r="4" spans="1:139" s="106" customFormat="1" ht="26.1">
      <c r="D4" s="174" t="s">
        <v>90</v>
      </c>
      <c r="E4" s="21"/>
      <c r="F4" s="21"/>
      <c r="G4" s="21"/>
      <c r="H4" s="21"/>
      <c r="I4" s="21"/>
      <c r="J4" s="21"/>
      <c r="K4" s="21"/>
      <c r="L4" s="21"/>
      <c r="M4" s="21"/>
      <c r="N4" s="21"/>
      <c r="O4" s="21"/>
      <c r="P4" s="21"/>
      <c r="Q4" s="21"/>
      <c r="R4" s="21"/>
      <c r="S4" s="21"/>
      <c r="T4" s="21"/>
      <c r="U4" s="21"/>
      <c r="V4" s="21"/>
      <c r="W4" s="21"/>
      <c r="X4" s="21"/>
      <c r="Y4" s="21"/>
      <c r="Z4" s="21"/>
    </row>
    <row r="5" spans="1:139" hidden="1" outlineLevel="1"/>
    <row r="6" spans="1:139" hidden="1" outlineLevel="1">
      <c r="J6" s="9" t="s">
        <v>375</v>
      </c>
      <c r="K6" s="9" t="s">
        <v>376</v>
      </c>
      <c r="L6" s="9" t="s">
        <v>377</v>
      </c>
    </row>
    <row r="7" spans="1:139" hidden="1" outlineLevel="1">
      <c r="D7" s="22" t="s">
        <v>378</v>
      </c>
      <c r="J7" s="9">
        <v>260</v>
      </c>
      <c r="K7" s="9">
        <v>8</v>
      </c>
      <c r="L7" s="9">
        <v>60</v>
      </c>
    </row>
    <row r="8" spans="1:139" hidden="1" outlineLevel="1">
      <c r="D8" s="9" t="s">
        <v>379</v>
      </c>
      <c r="E8" s="161" t="s">
        <v>380</v>
      </c>
      <c r="F8" s="9" t="s">
        <v>381</v>
      </c>
      <c r="G8" s="9" t="s">
        <v>382</v>
      </c>
      <c r="H8" s="9" t="s">
        <v>383</v>
      </c>
      <c r="I8" s="9" t="s">
        <v>384</v>
      </c>
      <c r="J8" s="9" t="s">
        <v>385</v>
      </c>
      <c r="K8" s="103" t="s">
        <v>386</v>
      </c>
      <c r="L8" s="9" t="s">
        <v>387</v>
      </c>
    </row>
    <row r="9" spans="1:139" hidden="1" outlineLevel="1">
      <c r="D9" s="9" t="s">
        <v>388</v>
      </c>
      <c r="E9" s="161">
        <v>29059.040590405904</v>
      </c>
      <c r="F9" s="9">
        <v>0.14000000000000001</v>
      </c>
      <c r="G9" s="9">
        <v>9298.8929889298888</v>
      </c>
      <c r="H9" s="9">
        <v>42426.199261992617</v>
      </c>
      <c r="I9" s="9">
        <v>17506.925207756234</v>
      </c>
      <c r="J9" s="202">
        <v>230.51201719134173</v>
      </c>
      <c r="K9" s="203">
        <v>28.814002148917716</v>
      </c>
      <c r="L9" s="202">
        <v>0.48023336914862857</v>
      </c>
    </row>
    <row r="10" spans="1:139" hidden="1" outlineLevel="1">
      <c r="D10" s="9" t="s">
        <v>389</v>
      </c>
      <c r="E10" s="161">
        <v>38764.760147601475</v>
      </c>
      <c r="F10" s="9">
        <v>0.14000000000000001</v>
      </c>
      <c r="G10" s="9">
        <v>9298.8929889298888</v>
      </c>
      <c r="H10" s="9">
        <v>53490.719557195567</v>
      </c>
      <c r="I10" s="9">
        <v>29178.208679593721</v>
      </c>
      <c r="J10" s="202">
        <v>317.95741629534342</v>
      </c>
      <c r="K10" s="203">
        <v>39.744677036917928</v>
      </c>
      <c r="L10" s="202">
        <v>0.66241128394863213</v>
      </c>
    </row>
    <row r="11" spans="1:139" hidden="1" outlineLevel="1">
      <c r="D11" s="9" t="s">
        <v>390</v>
      </c>
      <c r="E11" s="161">
        <v>29059.040590405904</v>
      </c>
      <c r="F11" s="9">
        <v>0.14000000000000001</v>
      </c>
      <c r="G11" s="9">
        <v>9298.8929889298888</v>
      </c>
      <c r="H11" s="9">
        <v>42426.199261992617</v>
      </c>
      <c r="I11" s="9"/>
      <c r="J11" s="202">
        <v>163.17768946920236</v>
      </c>
      <c r="K11" s="203">
        <v>20.397211183650295</v>
      </c>
      <c r="L11" s="202">
        <v>0.33995351972750493</v>
      </c>
    </row>
    <row r="12" spans="1:139" hidden="1" outlineLevel="1">
      <c r="D12" s="9" t="s">
        <v>391</v>
      </c>
      <c r="E12" s="161">
        <v>40682.656826568265</v>
      </c>
      <c r="F12" s="9">
        <v>0.14000000000000001</v>
      </c>
      <c r="G12" s="9">
        <v>9298.8929889298888</v>
      </c>
      <c r="H12" s="9">
        <v>55677.121771217709</v>
      </c>
      <c r="I12" s="9"/>
      <c r="J12" s="202">
        <v>214.14277604314503</v>
      </c>
      <c r="K12" s="203">
        <v>26.767847005393129</v>
      </c>
      <c r="L12" s="202">
        <v>0.44613078342321882</v>
      </c>
    </row>
    <row r="13" spans="1:139" hidden="1" outlineLevel="1">
      <c r="D13" s="9" t="s">
        <v>392</v>
      </c>
      <c r="E13" s="161">
        <v>37195.571955719555</v>
      </c>
      <c r="F13" s="9">
        <v>0.14000000000000001</v>
      </c>
      <c r="G13" s="9">
        <v>9298.8929889298888</v>
      </c>
      <c r="H13" s="9">
        <v>51701.845018450185</v>
      </c>
      <c r="I13" s="9"/>
      <c r="J13" s="202">
        <v>198.85325007096225</v>
      </c>
      <c r="K13" s="203">
        <v>24.856656258870281</v>
      </c>
      <c r="L13" s="202">
        <v>0.41427760431450467</v>
      </c>
    </row>
    <row r="14" spans="1:139" hidden="1" outlineLevel="1">
      <c r="D14" s="9" t="s">
        <v>393</v>
      </c>
      <c r="E14" s="161">
        <v>32429.889298892987</v>
      </c>
      <c r="F14" s="9">
        <v>0.14000000000000001</v>
      </c>
      <c r="G14" s="9">
        <v>9298.8929889298888</v>
      </c>
      <c r="H14" s="9">
        <v>46268.966789667895</v>
      </c>
      <c r="I14" s="9"/>
      <c r="J14" s="202">
        <v>177.95756457564576</v>
      </c>
      <c r="K14" s="203">
        <v>22.24469557195572</v>
      </c>
      <c r="L14" s="202">
        <v>0.37074492619926203</v>
      </c>
    </row>
    <row r="15" spans="1:139" hidden="1" outlineLevel="1">
      <c r="D15" s="9" t="s">
        <v>394</v>
      </c>
      <c r="E15" s="161">
        <v>40682.656826568265</v>
      </c>
      <c r="F15" s="9">
        <v>0.14000000000000001</v>
      </c>
      <c r="G15" s="9">
        <v>9298.8929889298888</v>
      </c>
      <c r="H15" s="9">
        <v>55677.121771217709</v>
      </c>
      <c r="I15" s="9"/>
      <c r="J15" s="202">
        <v>214.14277604314503</v>
      </c>
      <c r="K15" s="203">
        <v>26.767847005393129</v>
      </c>
      <c r="L15" s="202">
        <v>0.44613078342321882</v>
      </c>
    </row>
    <row r="16" spans="1:139" hidden="1" outlineLevel="1">
      <c r="D16" s="9" t="s">
        <v>395</v>
      </c>
      <c r="E16" s="161">
        <v>40682.656826568265</v>
      </c>
      <c r="F16" s="9">
        <v>0.14000000000000001</v>
      </c>
      <c r="G16" s="9">
        <v>9298.8929889298888</v>
      </c>
      <c r="H16" s="9">
        <v>55677.121771217709</v>
      </c>
      <c r="I16" s="9"/>
      <c r="J16" s="202">
        <v>214.14277604314503</v>
      </c>
      <c r="K16" s="203">
        <v>26.767847005393129</v>
      </c>
      <c r="L16" s="202">
        <v>0.44613078342321882</v>
      </c>
    </row>
    <row r="17" spans="1:26" hidden="1" outlineLevel="1">
      <c r="D17" s="9" t="s">
        <v>396</v>
      </c>
      <c r="E17" s="161">
        <v>40682.656826568265</v>
      </c>
      <c r="F17" s="9">
        <v>0.14000000000000001</v>
      </c>
      <c r="G17" s="9">
        <v>9298.8929889298888</v>
      </c>
      <c r="H17" s="9">
        <v>55677.121771217709</v>
      </c>
      <c r="I17" s="9"/>
      <c r="J17" s="202">
        <v>214.14277604314503</v>
      </c>
      <c r="K17" s="203">
        <v>26.767847005393129</v>
      </c>
      <c r="L17" s="202">
        <v>0.44613078342321882</v>
      </c>
    </row>
    <row r="18" spans="1:26" hidden="1" outlineLevel="1">
      <c r="D18" s="9" t="s">
        <v>397</v>
      </c>
      <c r="E18" s="161">
        <v>35742.619926199259</v>
      </c>
      <c r="F18" s="9">
        <v>0.14000000000000001</v>
      </c>
      <c r="G18" s="9">
        <v>9298.8929889298888</v>
      </c>
      <c r="H18" s="9">
        <v>50045.479704797042</v>
      </c>
      <c r="I18" s="9"/>
      <c r="J18" s="202">
        <v>192.48261424921938</v>
      </c>
      <c r="K18" s="203">
        <v>24.060326781152423</v>
      </c>
      <c r="L18" s="202">
        <v>0.40100544635254037</v>
      </c>
    </row>
    <row r="19" spans="1:26" hidden="1" outlineLevel="1">
      <c r="D19" s="9" t="s">
        <v>398</v>
      </c>
      <c r="E19" s="9">
        <v>32139.298892988929</v>
      </c>
      <c r="F19" s="9">
        <v>0.14000000000000001</v>
      </c>
      <c r="G19" s="9">
        <v>9298.8929889298888</v>
      </c>
      <c r="H19" s="9">
        <v>45937.693726937272</v>
      </c>
      <c r="I19" s="9"/>
      <c r="J19" s="202">
        <v>176.68343741129721</v>
      </c>
      <c r="K19" s="203">
        <v>22.085429676412151</v>
      </c>
      <c r="L19" s="202">
        <v>0.36809049460686916</v>
      </c>
    </row>
    <row r="20" spans="1:26" collapsed="1"/>
    <row r="21" spans="1:26" s="106" customFormat="1" ht="26.1">
      <c r="D21" s="174" t="s">
        <v>135</v>
      </c>
      <c r="E21" s="21"/>
      <c r="F21" s="21"/>
      <c r="G21" s="21"/>
      <c r="H21" s="21"/>
      <c r="I21" s="21"/>
      <c r="J21" s="21"/>
      <c r="K21" s="21"/>
      <c r="L21" s="21"/>
      <c r="M21" s="21"/>
      <c r="N21" s="21"/>
      <c r="O21" s="21"/>
      <c r="P21" s="21"/>
      <c r="Q21" s="21"/>
      <c r="R21" s="21"/>
      <c r="S21" s="21"/>
      <c r="T21" s="21"/>
      <c r="U21" s="21"/>
      <c r="V21" s="21"/>
      <c r="W21" s="21"/>
      <c r="X21" s="21"/>
      <c r="Y21" s="21"/>
      <c r="Z21" s="21"/>
    </row>
    <row r="22" spans="1:26" hidden="1" outlineLevel="1"/>
    <row r="23" spans="1:26" ht="15.6" hidden="1" outlineLevel="1">
      <c r="D23" t="s">
        <v>406</v>
      </c>
      <c r="E23" s="469" t="s">
        <v>407</v>
      </c>
      <c r="F23" s="469"/>
      <c r="G23" s="469"/>
    </row>
    <row r="24" spans="1:26" s="1" customFormat="1" ht="15.6" hidden="1" outlineLevel="1">
      <c r="A24"/>
      <c r="B24"/>
      <c r="E24" s="68" t="s">
        <v>408</v>
      </c>
      <c r="F24" s="68" t="s">
        <v>409</v>
      </c>
      <c r="G24" s="68" t="s">
        <v>410</v>
      </c>
    </row>
    <row r="25" spans="1:26" s="1" customFormat="1" ht="15.6" hidden="1" outlineLevel="1">
      <c r="A25"/>
      <c r="B25"/>
      <c r="C25" s="10"/>
      <c r="D25" s="63" t="s">
        <v>354</v>
      </c>
      <c r="E25" s="202">
        <v>32.281538927431299</v>
      </c>
      <c r="F25" s="202">
        <v>64.563077854862499</v>
      </c>
      <c r="G25" s="202">
        <v>96.84461678229377</v>
      </c>
    </row>
    <row r="26" spans="1:26" s="1" customFormat="1" ht="15.6" hidden="1" outlineLevel="1">
      <c r="A26"/>
      <c r="B26"/>
      <c r="C26" s="10"/>
      <c r="D26" s="63" t="s">
        <v>355</v>
      </c>
      <c r="E26" s="202">
        <v>38.09221593436888</v>
      </c>
      <c r="F26" s="202">
        <v>76.184431868737761</v>
      </c>
      <c r="G26" s="202">
        <v>114.27664780310664</v>
      </c>
    </row>
    <row r="27" spans="1:26" s="1" customFormat="1" ht="15.6" hidden="1" outlineLevel="1">
      <c r="A27"/>
      <c r="B27"/>
      <c r="C27" s="10"/>
      <c r="D27" s="63" t="s">
        <v>356</v>
      </c>
      <c r="E27" s="202">
        <v>44.948814802555276</v>
      </c>
      <c r="F27" s="202">
        <v>89.897629605110552</v>
      </c>
      <c r="G27" s="202">
        <v>134.84644440766584</v>
      </c>
    </row>
    <row r="28" spans="1:26" s="1" customFormat="1" ht="15.6" hidden="1" outlineLevel="1">
      <c r="A28"/>
      <c r="B28"/>
      <c r="C28"/>
      <c r="D28" s="63" t="s">
        <v>357</v>
      </c>
      <c r="E28" s="202">
        <v>51.108132429909197</v>
      </c>
      <c r="F28" s="202">
        <v>102.216264859818</v>
      </c>
      <c r="G28" s="202">
        <v>153.32439728972699</v>
      </c>
    </row>
    <row r="29" spans="1:26" s="1" customFormat="1" ht="15.6" hidden="1" outlineLevel="1">
      <c r="A29"/>
      <c r="B29"/>
      <c r="C29" s="10"/>
      <c r="D29" s="63" t="s">
        <v>358</v>
      </c>
      <c r="E29" s="202">
        <v>57.4417703674712</v>
      </c>
      <c r="F29" s="202">
        <v>114.883540734942</v>
      </c>
      <c r="G29" s="202">
        <v>172.32531110241399</v>
      </c>
    </row>
    <row r="30" spans="1:26" s="1" customFormat="1" ht="15.6" hidden="1" outlineLevel="1">
      <c r="A30"/>
      <c r="B30"/>
      <c r="C30" s="10"/>
      <c r="D30" s="63" t="s">
        <v>359</v>
      </c>
      <c r="E30" s="202">
        <v>63.159557426921729</v>
      </c>
      <c r="F30" s="202">
        <v>126.31911485384346</v>
      </c>
      <c r="G30" s="202">
        <v>189.47867228076518</v>
      </c>
    </row>
    <row r="31" spans="1:26" s="1" customFormat="1" ht="15.6" hidden="1" outlineLevel="1">
      <c r="A31"/>
      <c r="B31"/>
      <c r="C31" s="10"/>
      <c r="E31" s="477" t="s">
        <v>412</v>
      </c>
      <c r="F31" s="477"/>
      <c r="G31" s="477"/>
    </row>
    <row r="32" spans="1:26" s="1" customFormat="1" ht="15.6" hidden="1" customHeight="1" outlineLevel="1">
      <c r="A32"/>
      <c r="B32"/>
      <c r="C32" s="10"/>
      <c r="D32" s="1" t="s">
        <v>413</v>
      </c>
      <c r="E32" s="471"/>
      <c r="F32" s="471"/>
      <c r="G32" s="471"/>
    </row>
    <row r="33" spans="1:8" s="1" customFormat="1" ht="15.6" hidden="1" outlineLevel="1">
      <c r="A33"/>
      <c r="B33"/>
      <c r="C33" s="10"/>
      <c r="E33" s="68" t="s">
        <v>408</v>
      </c>
      <c r="F33" s="68" t="s">
        <v>409</v>
      </c>
      <c r="G33" s="68" t="s">
        <v>410</v>
      </c>
    </row>
    <row r="34" spans="1:8" s="1" customFormat="1" ht="15.6" hidden="1" outlineLevel="1">
      <c r="A34"/>
      <c r="B34"/>
      <c r="C34" s="10"/>
      <c r="D34" s="63" t="s">
        <v>354</v>
      </c>
      <c r="E34" s="202">
        <v>96.84461678229377</v>
      </c>
      <c r="F34" s="202">
        <v>193.68923356458754</v>
      </c>
      <c r="G34" s="202">
        <v>290.53385034688131</v>
      </c>
    </row>
    <row r="35" spans="1:8" s="1" customFormat="1" ht="15.6" hidden="1" outlineLevel="1">
      <c r="A35"/>
      <c r="B35"/>
      <c r="C35" s="10"/>
      <c r="D35" s="63" t="s">
        <v>355</v>
      </c>
      <c r="E35" s="202">
        <v>114.27664780310664</v>
      </c>
      <c r="F35" s="202">
        <v>228.55329560621328</v>
      </c>
      <c r="G35" s="202">
        <v>342.82994340931992</v>
      </c>
    </row>
    <row r="36" spans="1:8" s="1" customFormat="1" ht="15.6" hidden="1" outlineLevel="1">
      <c r="A36"/>
      <c r="B36"/>
      <c r="C36" s="10"/>
      <c r="D36" s="63" t="s">
        <v>356</v>
      </c>
      <c r="E36" s="202">
        <v>134.84644440766584</v>
      </c>
      <c r="F36" s="202">
        <v>269.69288881533168</v>
      </c>
      <c r="G36" s="202">
        <v>404.53933322299747</v>
      </c>
    </row>
    <row r="37" spans="1:8" s="1" customFormat="1" ht="15.6" hidden="1" outlineLevel="1">
      <c r="A37"/>
      <c r="B37"/>
      <c r="D37" s="63" t="s">
        <v>357</v>
      </c>
      <c r="E37" s="202">
        <v>153.32439728972699</v>
      </c>
      <c r="F37" s="202">
        <v>306.648794579455</v>
      </c>
      <c r="G37" s="202">
        <v>459.97319186918202</v>
      </c>
    </row>
    <row r="38" spans="1:8" s="1" customFormat="1" ht="15.6" hidden="1" outlineLevel="1">
      <c r="A38"/>
      <c r="B38"/>
      <c r="C38" s="10"/>
      <c r="D38" s="63" t="s">
        <v>358</v>
      </c>
      <c r="E38" s="202">
        <v>172.32531110241399</v>
      </c>
      <c r="F38" s="202">
        <v>344.65062220482702</v>
      </c>
      <c r="G38" s="202">
        <v>516.97593330723998</v>
      </c>
    </row>
    <row r="39" spans="1:8" s="1" customFormat="1" ht="15.6" hidden="1" outlineLevel="1">
      <c r="A39"/>
      <c r="B39"/>
      <c r="C39" s="10"/>
      <c r="D39" s="63" t="s">
        <v>359</v>
      </c>
      <c r="E39" s="202">
        <v>189.47867228076518</v>
      </c>
      <c r="F39" s="202">
        <v>378.95734456153036</v>
      </c>
      <c r="G39" s="202">
        <v>568.43601684229554</v>
      </c>
    </row>
    <row r="40" spans="1:8" hidden="1" outlineLevel="1"/>
    <row r="41" spans="1:8" s="1" customFormat="1" ht="30.95" hidden="1" outlineLevel="1">
      <c r="A41"/>
      <c r="B41"/>
      <c r="C41" s="10"/>
      <c r="E41" s="155">
        <v>2022</v>
      </c>
      <c r="F41" s="155">
        <v>2023</v>
      </c>
      <c r="G41" s="156">
        <v>2024</v>
      </c>
      <c r="H41" s="68" t="s">
        <v>415</v>
      </c>
    </row>
    <row r="42" spans="1:8" s="1" customFormat="1" ht="15.6" hidden="1" outlineLevel="1">
      <c r="A42"/>
      <c r="B42"/>
      <c r="C42" s="10"/>
      <c r="D42" s="63" t="s">
        <v>434</v>
      </c>
      <c r="E42" s="202" t="s">
        <v>418</v>
      </c>
      <c r="F42" s="202" t="s">
        <v>418</v>
      </c>
      <c r="G42" s="202" t="s">
        <v>418</v>
      </c>
      <c r="H42" s="202">
        <v>0</v>
      </c>
    </row>
    <row r="43" spans="1:8" s="1" customFormat="1" ht="15.6" hidden="1" outlineLevel="1">
      <c r="A43"/>
      <c r="B43"/>
      <c r="C43" s="10"/>
      <c r="D43" s="63" t="s">
        <v>435</v>
      </c>
      <c r="E43" s="202">
        <v>77</v>
      </c>
      <c r="F43" s="202">
        <v>80</v>
      </c>
      <c r="G43" s="202">
        <v>110</v>
      </c>
      <c r="H43" s="202">
        <v>89</v>
      </c>
    </row>
    <row r="44" spans="1:8" s="1" customFormat="1" ht="15.6" hidden="1" outlineLevel="1">
      <c r="A44"/>
      <c r="B44"/>
      <c r="C44" s="10"/>
      <c r="D44" s="63" t="s">
        <v>436</v>
      </c>
      <c r="E44" s="202"/>
      <c r="F44" s="202"/>
      <c r="G44" s="202"/>
      <c r="H44" s="202">
        <v>0</v>
      </c>
    </row>
    <row r="45" spans="1:8" s="1" customFormat="1" ht="15.6" hidden="1" outlineLevel="1">
      <c r="A45"/>
      <c r="B45"/>
      <c r="C45" s="10"/>
      <c r="D45" s="63" t="s">
        <v>437</v>
      </c>
      <c r="E45" s="202"/>
      <c r="F45" s="202"/>
      <c r="G45" s="202"/>
      <c r="H45" s="202">
        <v>0</v>
      </c>
    </row>
    <row r="46" spans="1:8" s="1" customFormat="1" ht="15.6" hidden="1" outlineLevel="1">
      <c r="A46"/>
      <c r="B46"/>
      <c r="C46" s="10"/>
      <c r="D46" s="63" t="s">
        <v>438</v>
      </c>
      <c r="E46" s="202"/>
      <c r="F46" s="202"/>
      <c r="G46" s="202"/>
      <c r="H46" s="202">
        <v>0</v>
      </c>
    </row>
    <row r="47" spans="1:8" s="1" customFormat="1" ht="15.6" hidden="1" outlineLevel="1">
      <c r="A47"/>
      <c r="B47"/>
      <c r="C47" s="10"/>
      <c r="D47" s="63" t="s">
        <v>439</v>
      </c>
      <c r="E47" s="202" t="s">
        <v>418</v>
      </c>
      <c r="F47" s="202">
        <v>136</v>
      </c>
      <c r="G47" s="202">
        <v>135</v>
      </c>
      <c r="H47" s="202">
        <v>135.5</v>
      </c>
    </row>
    <row r="48" spans="1:8" s="1" customFormat="1" ht="15.6" hidden="1" outlineLevel="1">
      <c r="A48"/>
      <c r="B48"/>
      <c r="C48" s="10"/>
      <c r="D48" s="160" t="s">
        <v>440</v>
      </c>
      <c r="E48" s="202">
        <v>99</v>
      </c>
      <c r="F48" s="202" t="s">
        <v>418</v>
      </c>
      <c r="G48" s="202">
        <v>135</v>
      </c>
      <c r="H48" s="202">
        <v>117</v>
      </c>
    </row>
    <row r="49" spans="1:26" s="1" customFormat="1" ht="15.6" hidden="1" outlineLevel="1">
      <c r="A49"/>
      <c r="B49"/>
      <c r="C49" s="10"/>
      <c r="D49" s="63" t="s">
        <v>441</v>
      </c>
      <c r="E49" s="202">
        <v>116</v>
      </c>
      <c r="F49" s="202">
        <v>150</v>
      </c>
      <c r="G49" s="202" t="s">
        <v>418</v>
      </c>
      <c r="H49" s="202">
        <v>133</v>
      </c>
    </row>
    <row r="50" spans="1:26" collapsed="1"/>
    <row r="51" spans="1:26" s="106" customFormat="1" ht="26.1">
      <c r="D51" s="174" t="s">
        <v>151</v>
      </c>
      <c r="E51" s="21"/>
      <c r="F51" s="21"/>
      <c r="G51" s="21"/>
      <c r="H51" s="21"/>
      <c r="I51" s="21"/>
      <c r="J51" s="21"/>
      <c r="K51" s="21"/>
      <c r="L51" s="21"/>
      <c r="M51" s="21"/>
      <c r="N51" s="21"/>
      <c r="O51" s="21"/>
      <c r="P51" s="21"/>
      <c r="Q51" s="21"/>
      <c r="R51" s="21"/>
      <c r="S51" s="21"/>
      <c r="T51" s="21"/>
      <c r="U51" s="21"/>
      <c r="V51" s="21"/>
      <c r="W51" s="21"/>
      <c r="X51" s="21"/>
      <c r="Y51" s="21"/>
      <c r="Z51" s="21"/>
    </row>
    <row r="52" spans="1:26" hidden="1" outlineLevel="1"/>
    <row r="53" spans="1:26" ht="30.95" hidden="1" outlineLevel="1">
      <c r="D53" s="10" t="s">
        <v>442</v>
      </c>
      <c r="E53" s="157">
        <v>2024</v>
      </c>
      <c r="F53" s="68" t="s">
        <v>415</v>
      </c>
      <c r="G53" s="176"/>
      <c r="H53" s="176"/>
      <c r="I53" s="176"/>
      <c r="J53" s="176"/>
      <c r="K53" s="176"/>
      <c r="L53" s="176"/>
      <c r="M53" s="176"/>
      <c r="N53" s="176"/>
      <c r="O53" s="176"/>
      <c r="P53" s="176"/>
      <c r="Q53" s="176"/>
    </row>
    <row r="54" spans="1:26" ht="15.6" hidden="1" outlineLevel="1">
      <c r="D54" s="181" t="s">
        <v>443</v>
      </c>
      <c r="E54" s="182">
        <v>1260</v>
      </c>
      <c r="F54" s="183">
        <v>1260</v>
      </c>
      <c r="G54" s="176"/>
      <c r="H54" s="176"/>
      <c r="I54" s="176"/>
      <c r="J54" s="176"/>
      <c r="K54" s="176"/>
      <c r="L54" s="176"/>
      <c r="M54" s="176"/>
      <c r="N54" s="176"/>
      <c r="O54" s="176"/>
      <c r="P54" s="176"/>
      <c r="Q54" s="176"/>
    </row>
    <row r="55" spans="1:26" ht="15.6" hidden="1" outlineLevel="1">
      <c r="D55" s="63" t="s">
        <v>444</v>
      </c>
      <c r="E55" s="182">
        <v>320.08333333333331</v>
      </c>
      <c r="F55" s="183">
        <v>320.08333333333331</v>
      </c>
      <c r="G55" s="176"/>
      <c r="H55" s="176"/>
      <c r="I55" s="176"/>
      <c r="J55" s="176"/>
      <c r="K55" s="176"/>
      <c r="L55" s="176"/>
      <c r="M55" s="176"/>
      <c r="N55" s="176"/>
      <c r="O55" s="176"/>
      <c r="P55" s="176"/>
      <c r="Q55" s="176"/>
    </row>
    <row r="56" spans="1:26" ht="15.6" hidden="1" outlineLevel="1">
      <c r="D56" s="63" t="s">
        <v>445</v>
      </c>
      <c r="E56" s="182">
        <v>270</v>
      </c>
      <c r="F56" s="183">
        <v>270</v>
      </c>
      <c r="G56" s="176"/>
      <c r="H56" s="176"/>
      <c r="I56" s="176"/>
      <c r="J56" s="176"/>
      <c r="K56" s="176"/>
      <c r="L56" s="176"/>
      <c r="M56" s="176"/>
      <c r="N56" s="176"/>
      <c r="O56" s="176"/>
      <c r="P56" s="176"/>
      <c r="Q56" s="176"/>
    </row>
    <row r="57" spans="1:26" ht="15.6" hidden="1" outlineLevel="1">
      <c r="D57" s="63" t="s">
        <v>446</v>
      </c>
      <c r="E57" s="182">
        <v>779</v>
      </c>
      <c r="F57" s="183">
        <v>779</v>
      </c>
      <c r="G57" s="176"/>
      <c r="H57" s="176"/>
      <c r="I57" s="176"/>
      <c r="J57" s="176"/>
      <c r="K57" s="176"/>
      <c r="L57" s="176"/>
      <c r="M57" s="176"/>
      <c r="N57" s="176"/>
      <c r="O57" s="176"/>
      <c r="P57" s="176"/>
      <c r="Q57" s="176"/>
    </row>
    <row r="58" spans="1:26" ht="15.6" hidden="1" outlineLevel="1">
      <c r="D58" s="63" t="s">
        <v>447</v>
      </c>
      <c r="E58" s="182">
        <v>2353.8571428571427</v>
      </c>
      <c r="F58" s="183">
        <v>2353.8571428571427</v>
      </c>
      <c r="G58" s="176"/>
      <c r="H58" s="176"/>
      <c r="I58" s="176"/>
      <c r="J58" s="176"/>
      <c r="K58" s="176"/>
      <c r="L58" s="176"/>
      <c r="M58" s="176"/>
      <c r="N58" s="176"/>
      <c r="O58" s="176"/>
      <c r="P58" s="176"/>
      <c r="Q58" s="176"/>
    </row>
    <row r="59" spans="1:26" ht="15.6" hidden="1" outlineLevel="1">
      <c r="D59" s="176"/>
      <c r="E59" s="176"/>
      <c r="F59" s="176"/>
      <c r="G59" s="176"/>
      <c r="H59" s="176"/>
      <c r="I59" s="176"/>
      <c r="J59" s="176"/>
      <c r="K59" s="176"/>
      <c r="L59" s="176"/>
      <c r="M59" s="176"/>
      <c r="N59" s="176"/>
      <c r="O59" s="176"/>
      <c r="P59" s="176"/>
      <c r="Q59" s="176"/>
    </row>
    <row r="60" spans="1:26" ht="30.95" hidden="1" outlineLevel="1">
      <c r="D60" s="10" t="s">
        <v>448</v>
      </c>
      <c r="E60" s="184" t="s">
        <v>449</v>
      </c>
      <c r="F60" s="185" t="s">
        <v>450</v>
      </c>
      <c r="G60" s="176"/>
      <c r="H60" s="176"/>
      <c r="I60" s="176"/>
      <c r="J60" s="176"/>
      <c r="K60" s="176"/>
      <c r="L60" s="176"/>
      <c r="M60" s="176"/>
      <c r="N60" s="176"/>
      <c r="O60" s="176"/>
      <c r="P60" s="176"/>
      <c r="Q60" s="176"/>
    </row>
    <row r="61" spans="1:26" ht="15.6" hidden="1" outlineLevel="1">
      <c r="D61" s="175" t="s">
        <v>451</v>
      </c>
      <c r="E61" s="186">
        <v>40</v>
      </c>
      <c r="F61" s="187" t="s">
        <v>452</v>
      </c>
      <c r="G61" s="176"/>
      <c r="H61" s="176"/>
      <c r="I61" s="176"/>
      <c r="J61" s="176"/>
      <c r="K61" s="176"/>
      <c r="L61" s="176"/>
      <c r="M61" s="176"/>
      <c r="N61" s="176"/>
      <c r="O61" s="176"/>
      <c r="P61" s="176"/>
      <c r="Q61" s="176"/>
    </row>
    <row r="62" spans="1:26" ht="15.6" hidden="1" outlineLevel="1">
      <c r="D62" s="175" t="s">
        <v>453</v>
      </c>
      <c r="E62" s="186">
        <v>30</v>
      </c>
      <c r="F62" s="187" t="s">
        <v>452</v>
      </c>
      <c r="G62" s="176"/>
      <c r="H62" s="176"/>
      <c r="I62" s="176"/>
      <c r="J62" s="176"/>
      <c r="K62" s="176"/>
      <c r="L62" s="176"/>
      <c r="M62" s="176"/>
      <c r="N62" s="176"/>
      <c r="O62" s="176"/>
      <c r="P62" s="176"/>
      <c r="Q62" s="176"/>
    </row>
    <row r="63" spans="1:26" ht="15.6" hidden="1" outlineLevel="1">
      <c r="D63" s="175" t="s">
        <v>454</v>
      </c>
      <c r="E63" s="186">
        <v>35</v>
      </c>
      <c r="F63" s="187" t="s">
        <v>452</v>
      </c>
      <c r="G63" s="176"/>
      <c r="H63" s="176"/>
      <c r="I63" s="176"/>
      <c r="J63" s="176"/>
      <c r="K63" s="176"/>
      <c r="L63" s="176"/>
      <c r="M63" s="176"/>
      <c r="N63" s="176"/>
      <c r="O63" s="176"/>
      <c r="P63" s="176"/>
      <c r="Q63" s="176"/>
    </row>
    <row r="64" spans="1:26" ht="15.6" hidden="1" outlineLevel="1">
      <c r="D64" s="176"/>
      <c r="E64" s="176"/>
      <c r="F64" s="176"/>
      <c r="G64" s="176"/>
      <c r="H64" s="176"/>
      <c r="I64" s="176"/>
      <c r="J64" s="176"/>
      <c r="K64" s="176"/>
      <c r="L64" s="176"/>
      <c r="M64" s="176"/>
      <c r="N64" s="176"/>
      <c r="O64" s="176"/>
      <c r="P64" s="176"/>
      <c r="Q64" s="176"/>
    </row>
    <row r="65" spans="4:17" ht="15.6" hidden="1" outlineLevel="1">
      <c r="D65" s="188" t="s">
        <v>455</v>
      </c>
      <c r="E65" s="188"/>
      <c r="F65" s="185" t="s">
        <v>450</v>
      </c>
      <c r="G65" s="188"/>
      <c r="H65" s="176"/>
      <c r="I65" s="176"/>
      <c r="J65" s="176"/>
      <c r="K65" s="176"/>
      <c r="L65" s="176"/>
      <c r="M65" s="176"/>
      <c r="N65" s="176"/>
      <c r="O65" s="176"/>
      <c r="P65" s="176"/>
      <c r="Q65" s="176"/>
    </row>
    <row r="66" spans="4:17" ht="15.6" hidden="1" outlineLevel="1">
      <c r="D66" s="175" t="s">
        <v>456</v>
      </c>
      <c r="E66" s="186">
        <v>54</v>
      </c>
      <c r="F66" s="185" t="s">
        <v>457</v>
      </c>
      <c r="G66" s="176"/>
      <c r="H66" s="176"/>
      <c r="I66" s="176"/>
      <c r="J66" s="176"/>
      <c r="K66" s="176"/>
      <c r="L66" s="176"/>
      <c r="M66" s="176"/>
      <c r="N66" s="176"/>
      <c r="O66" s="176"/>
      <c r="P66" s="176"/>
      <c r="Q66" s="176"/>
    </row>
    <row r="67" spans="4:17" ht="15.6" hidden="1" outlineLevel="1">
      <c r="D67" s="175" t="s">
        <v>458</v>
      </c>
      <c r="E67" s="186">
        <v>25</v>
      </c>
      <c r="F67" s="185" t="s">
        <v>459</v>
      </c>
      <c r="G67" s="176"/>
      <c r="H67" s="176"/>
      <c r="I67" s="176"/>
      <c r="J67" s="176"/>
      <c r="K67" s="176"/>
      <c r="L67" s="176"/>
      <c r="M67" s="176"/>
      <c r="N67" s="176"/>
      <c r="O67" s="176"/>
      <c r="P67" s="176"/>
      <c r="Q67" s="176"/>
    </row>
    <row r="68" spans="4:17" ht="15.6" hidden="1" outlineLevel="1">
      <c r="D68" s="175" t="s">
        <v>460</v>
      </c>
      <c r="E68" s="186">
        <v>980</v>
      </c>
      <c r="F68" s="185" t="s">
        <v>457</v>
      </c>
      <c r="G68" s="176"/>
      <c r="H68" s="176"/>
      <c r="I68" s="176"/>
      <c r="J68" s="176"/>
      <c r="K68" s="176"/>
      <c r="L68" s="176"/>
      <c r="M68" s="176"/>
      <c r="N68" s="176"/>
      <c r="O68" s="176"/>
      <c r="P68" s="176"/>
      <c r="Q68" s="176"/>
    </row>
    <row r="69" spans="4:17" ht="15.6" hidden="1" outlineLevel="1">
      <c r="D69" s="175" t="s">
        <v>461</v>
      </c>
      <c r="E69" s="186">
        <v>360</v>
      </c>
      <c r="F69" s="185" t="s">
        <v>457</v>
      </c>
      <c r="G69" s="176"/>
      <c r="H69" s="176"/>
      <c r="I69" s="176"/>
      <c r="J69" s="176"/>
      <c r="K69" s="176"/>
      <c r="L69" s="176"/>
      <c r="M69" s="176"/>
      <c r="N69" s="176"/>
      <c r="O69" s="176"/>
      <c r="P69" s="176"/>
      <c r="Q69" s="176"/>
    </row>
    <row r="70" spans="4:17" ht="15.6" hidden="1" outlineLevel="1">
      <c r="D70" s="175" t="s">
        <v>462</v>
      </c>
      <c r="E70" s="186">
        <v>380</v>
      </c>
      <c r="F70" s="185" t="s">
        <v>457</v>
      </c>
      <c r="G70" s="176"/>
      <c r="H70" s="176"/>
      <c r="I70" s="176"/>
      <c r="J70" s="176"/>
      <c r="K70" s="176"/>
      <c r="L70" s="176"/>
      <c r="M70" s="176"/>
      <c r="N70" s="176"/>
      <c r="O70" s="176"/>
      <c r="P70" s="176"/>
      <c r="Q70" s="176"/>
    </row>
    <row r="71" spans="4:17" ht="15.6" hidden="1" outlineLevel="1">
      <c r="D71" s="175" t="s">
        <v>463</v>
      </c>
      <c r="E71" s="186">
        <v>60</v>
      </c>
      <c r="F71" s="185" t="s">
        <v>464</v>
      </c>
      <c r="G71" s="176"/>
      <c r="H71" s="176"/>
      <c r="I71" s="176"/>
      <c r="J71" s="176"/>
      <c r="K71" s="176"/>
      <c r="L71" s="176"/>
      <c r="M71" s="176"/>
      <c r="N71" s="176"/>
      <c r="O71" s="176"/>
      <c r="P71" s="176"/>
      <c r="Q71" s="176"/>
    </row>
    <row r="72" spans="4:17" ht="17.45" hidden="1" outlineLevel="1">
      <c r="D72" s="175" t="s">
        <v>465</v>
      </c>
      <c r="E72" s="186">
        <v>240</v>
      </c>
      <c r="F72" s="185" t="s">
        <v>466</v>
      </c>
      <c r="G72" s="176"/>
      <c r="H72" s="176"/>
      <c r="I72" s="176"/>
      <c r="J72" s="176"/>
      <c r="K72" s="176"/>
      <c r="L72" s="176"/>
      <c r="M72" s="176"/>
      <c r="N72" s="176"/>
      <c r="O72" s="176"/>
      <c r="P72" s="176"/>
      <c r="Q72" s="176"/>
    </row>
    <row r="73" spans="4:17" ht="17.45" hidden="1" outlineLevel="1">
      <c r="D73" s="175" t="s">
        <v>467</v>
      </c>
      <c r="E73" s="186">
        <f>50/1.6</f>
        <v>31.25</v>
      </c>
      <c r="F73" s="185" t="s">
        <v>468</v>
      </c>
      <c r="G73" s="176"/>
      <c r="H73" s="176"/>
      <c r="I73" s="176"/>
      <c r="J73" s="176"/>
      <c r="K73" s="176"/>
      <c r="L73" s="176"/>
      <c r="M73" s="176"/>
      <c r="N73" s="176"/>
      <c r="O73" s="176"/>
      <c r="P73" s="176"/>
      <c r="Q73" s="176"/>
    </row>
    <row r="74" spans="4:17" ht="17.45" hidden="1" outlineLevel="1">
      <c r="D74" s="175" t="s">
        <v>469</v>
      </c>
      <c r="E74" s="189">
        <v>0</v>
      </c>
      <c r="F74" s="186" t="s">
        <v>470</v>
      </c>
      <c r="G74" s="176"/>
      <c r="H74" s="176"/>
      <c r="I74" s="176"/>
      <c r="J74" s="176"/>
      <c r="K74" s="176"/>
      <c r="L74" s="176"/>
      <c r="M74" s="176"/>
      <c r="N74" s="176"/>
      <c r="O74" s="176"/>
      <c r="P74" s="176"/>
      <c r="Q74" s="176"/>
    </row>
    <row r="75" spans="4:17" ht="17.45" hidden="1" outlineLevel="1">
      <c r="D75" s="175" t="s">
        <v>471</v>
      </c>
      <c r="E75" s="189">
        <v>0</v>
      </c>
      <c r="F75" s="186" t="s">
        <v>470</v>
      </c>
      <c r="G75" s="176"/>
      <c r="H75" s="176"/>
      <c r="I75" s="176"/>
      <c r="J75" s="176"/>
      <c r="K75" s="176"/>
      <c r="L75" s="176"/>
      <c r="M75" s="176"/>
      <c r="N75" s="176"/>
      <c r="O75" s="176"/>
      <c r="P75" s="176"/>
      <c r="Q75" s="176"/>
    </row>
    <row r="76" spans="4:17" ht="17.45" hidden="1" outlineLevel="1">
      <c r="D76" s="175" t="s">
        <v>472</v>
      </c>
      <c r="E76" s="186">
        <v>90</v>
      </c>
      <c r="F76" s="185" t="s">
        <v>473</v>
      </c>
      <c r="G76" s="176"/>
      <c r="H76" s="176"/>
      <c r="I76" s="176"/>
      <c r="J76" s="176"/>
      <c r="K76" s="176"/>
      <c r="L76" s="176"/>
      <c r="M76" s="176"/>
      <c r="N76" s="176"/>
      <c r="O76" s="176"/>
      <c r="P76" s="176"/>
      <c r="Q76" s="176"/>
    </row>
    <row r="77" spans="4:17" ht="17.45" hidden="1" outlineLevel="1">
      <c r="D77" s="175" t="s">
        <v>474</v>
      </c>
      <c r="E77" s="186">
        <v>1.72</v>
      </c>
      <c r="F77" s="185" t="s">
        <v>475</v>
      </c>
      <c r="G77" s="176"/>
      <c r="H77" s="176"/>
      <c r="I77" s="176"/>
      <c r="J77" s="176"/>
      <c r="K77" s="176"/>
      <c r="L77" s="176"/>
      <c r="M77" s="176"/>
      <c r="N77" s="176"/>
      <c r="O77" s="176"/>
      <c r="P77" s="176"/>
      <c r="Q77" s="176"/>
    </row>
    <row r="78" spans="4:17" ht="17.45" hidden="1" outlineLevel="1">
      <c r="D78" s="175" t="s">
        <v>476</v>
      </c>
      <c r="E78" s="186">
        <v>10</v>
      </c>
      <c r="F78" s="185" t="s">
        <v>477</v>
      </c>
      <c r="G78" s="176"/>
      <c r="H78" s="176"/>
      <c r="I78" s="176"/>
      <c r="J78" s="176"/>
      <c r="K78" s="176"/>
      <c r="L78" s="176"/>
      <c r="M78" s="176"/>
      <c r="N78" s="176"/>
      <c r="O78" s="176"/>
      <c r="P78" s="176"/>
      <c r="Q78" s="176"/>
    </row>
    <row r="79" spans="4:17" ht="15.6" hidden="1" outlineLevel="1">
      <c r="D79" s="175" t="s">
        <v>478</v>
      </c>
      <c r="E79" s="186">
        <v>62</v>
      </c>
      <c r="F79" s="185" t="s">
        <v>479</v>
      </c>
      <c r="G79" s="176"/>
      <c r="H79" s="176"/>
      <c r="I79" s="176"/>
      <c r="J79" s="176"/>
      <c r="K79" s="176"/>
      <c r="L79" s="176"/>
      <c r="M79" s="176"/>
      <c r="N79" s="176"/>
      <c r="O79" s="176"/>
      <c r="P79" s="176"/>
      <c r="Q79" s="176"/>
    </row>
    <row r="80" spans="4:17" ht="15.6" hidden="1" outlineLevel="1">
      <c r="D80" s="60" t="s">
        <v>480</v>
      </c>
      <c r="E80" s="60"/>
      <c r="F80" s="60"/>
      <c r="G80" s="60"/>
      <c r="H80" s="176"/>
      <c r="I80" s="176"/>
      <c r="J80" s="176"/>
      <c r="K80" s="176"/>
      <c r="L80" s="176"/>
      <c r="M80" s="176"/>
      <c r="N80" s="176"/>
      <c r="O80" s="176"/>
      <c r="P80" s="176"/>
      <c r="Q80" s="176"/>
    </row>
    <row r="81" spans="4:17" ht="15.6" hidden="1" outlineLevel="1">
      <c r="D81" s="60" t="s">
        <v>481</v>
      </c>
      <c r="E81" s="60"/>
      <c r="F81" s="60"/>
      <c r="G81" s="60"/>
      <c r="H81" s="176"/>
      <c r="I81" s="176"/>
      <c r="J81" s="176"/>
      <c r="K81" s="176"/>
      <c r="L81" s="176"/>
      <c r="M81" s="176"/>
      <c r="N81" s="176"/>
      <c r="O81" s="176"/>
      <c r="P81" s="176"/>
      <c r="Q81" s="176"/>
    </row>
    <row r="82" spans="4:17" ht="15.6" hidden="1" outlineLevel="1">
      <c r="D82" s="176"/>
      <c r="E82" s="57"/>
      <c r="F82" s="57"/>
      <c r="G82" s="57"/>
      <c r="H82" s="176"/>
      <c r="I82" s="176"/>
      <c r="J82" s="176"/>
      <c r="K82" s="176"/>
      <c r="L82" s="176"/>
      <c r="M82" s="176"/>
      <c r="N82" s="176"/>
      <c r="O82" s="176"/>
      <c r="P82" s="176"/>
      <c r="Q82" s="176"/>
    </row>
    <row r="83" spans="4:17" ht="15.6" hidden="1" outlineLevel="1">
      <c r="D83" s="188" t="s">
        <v>482</v>
      </c>
      <c r="E83" s="188"/>
      <c r="F83" s="188"/>
      <c r="G83" s="188"/>
      <c r="H83" s="176"/>
      <c r="I83" s="176"/>
      <c r="J83" s="176"/>
      <c r="K83" s="176"/>
      <c r="L83" s="176"/>
      <c r="M83" s="176"/>
      <c r="N83" s="176"/>
      <c r="O83" s="176"/>
      <c r="P83" s="176"/>
      <c r="Q83" s="176"/>
    </row>
    <row r="84" spans="4:17" ht="15.6" hidden="1" outlineLevel="1">
      <c r="D84" s="175" t="s">
        <v>456</v>
      </c>
      <c r="E84" s="186">
        <v>54</v>
      </c>
      <c r="F84" s="185" t="s">
        <v>457</v>
      </c>
      <c r="G84" s="176"/>
      <c r="H84" s="176"/>
      <c r="I84" s="176"/>
      <c r="J84" s="176"/>
      <c r="K84" s="176"/>
      <c r="L84" s="176"/>
      <c r="M84" s="176"/>
      <c r="N84" s="176"/>
      <c r="O84" s="176"/>
      <c r="P84" s="176"/>
      <c r="Q84" s="176"/>
    </row>
    <row r="85" spans="4:17" ht="15.6" hidden="1" outlineLevel="1">
      <c r="D85" s="175" t="s">
        <v>458</v>
      </c>
      <c r="E85" s="186">
        <v>25</v>
      </c>
      <c r="F85" s="185" t="s">
        <v>459</v>
      </c>
      <c r="G85" s="176"/>
      <c r="H85" s="176"/>
      <c r="I85" s="176"/>
      <c r="J85" s="176"/>
      <c r="K85" s="176"/>
      <c r="L85" s="176"/>
      <c r="M85" s="176"/>
      <c r="N85" s="176"/>
      <c r="O85" s="176"/>
      <c r="P85" s="176"/>
      <c r="Q85" s="176"/>
    </row>
    <row r="86" spans="4:17" ht="15.6" hidden="1" outlineLevel="1">
      <c r="D86" s="175" t="s">
        <v>460</v>
      </c>
      <c r="E86" s="186">
        <v>980</v>
      </c>
      <c r="F86" s="185" t="s">
        <v>457</v>
      </c>
      <c r="G86" s="176"/>
      <c r="H86" s="176"/>
      <c r="I86" s="176"/>
      <c r="J86" s="176"/>
      <c r="K86" s="176"/>
      <c r="L86" s="176"/>
      <c r="M86" s="176"/>
      <c r="N86" s="176"/>
      <c r="O86" s="176"/>
      <c r="P86" s="176"/>
      <c r="Q86" s="176"/>
    </row>
    <row r="87" spans="4:17" ht="15.6" hidden="1" outlineLevel="1">
      <c r="D87" s="175" t="s">
        <v>483</v>
      </c>
      <c r="E87" s="186">
        <v>173.83</v>
      </c>
      <c r="F87" s="185" t="s">
        <v>457</v>
      </c>
      <c r="G87" s="176"/>
      <c r="H87" s="176"/>
      <c r="I87" s="176"/>
      <c r="J87" s="176"/>
      <c r="K87" s="176"/>
      <c r="L87" s="176"/>
      <c r="M87" s="176"/>
      <c r="N87" s="176"/>
      <c r="O87" s="176"/>
      <c r="P87" s="176"/>
      <c r="Q87" s="176"/>
    </row>
    <row r="88" spans="4:17" ht="17.45" hidden="1" outlineLevel="1">
      <c r="D88" s="175" t="s">
        <v>484</v>
      </c>
      <c r="E88" s="186">
        <f>110/0.7</f>
        <v>157.14285714285714</v>
      </c>
      <c r="F88" s="185" t="s">
        <v>485</v>
      </c>
      <c r="G88" s="176"/>
      <c r="H88" s="176"/>
      <c r="I88" s="176"/>
      <c r="J88" s="176"/>
      <c r="K88" s="176"/>
      <c r="L88" s="176"/>
      <c r="M88" s="176"/>
      <c r="N88" s="176"/>
      <c r="O88" s="176"/>
      <c r="P88" s="176"/>
      <c r="Q88" s="176"/>
    </row>
    <row r="89" spans="4:17" ht="15.6" hidden="1" outlineLevel="1">
      <c r="D89" s="175" t="s">
        <v>478</v>
      </c>
      <c r="E89" s="186">
        <v>62</v>
      </c>
      <c r="F89" s="185" t="s">
        <v>479</v>
      </c>
      <c r="G89" s="176"/>
      <c r="H89" s="176"/>
      <c r="I89" s="176"/>
      <c r="J89" s="176"/>
      <c r="K89" s="176"/>
      <c r="L89" s="176"/>
      <c r="M89" s="176"/>
      <c r="N89" s="176"/>
      <c r="O89" s="176"/>
      <c r="P89" s="176"/>
      <c r="Q89" s="176"/>
    </row>
    <row r="90" spans="4:17" ht="15.6" hidden="1" outlineLevel="1">
      <c r="D90" s="176"/>
      <c r="E90" s="176"/>
      <c r="F90" s="176"/>
      <c r="G90" s="176"/>
      <c r="H90" s="176"/>
      <c r="I90" s="176"/>
      <c r="J90" s="176"/>
      <c r="K90" s="176"/>
      <c r="L90" s="176"/>
      <c r="M90" s="176"/>
      <c r="N90" s="176"/>
      <c r="O90" s="176"/>
      <c r="P90" s="176"/>
      <c r="Q90" s="176"/>
    </row>
    <row r="91" spans="4:17" ht="15.6" hidden="1" outlineLevel="1">
      <c r="D91" s="188" t="s">
        <v>486</v>
      </c>
      <c r="E91" s="176"/>
      <c r="F91" s="176"/>
      <c r="G91" s="176"/>
      <c r="H91" s="176"/>
      <c r="I91" s="176"/>
      <c r="J91" s="176"/>
      <c r="K91" s="176"/>
      <c r="L91" s="176"/>
      <c r="M91" s="176"/>
      <c r="N91" s="176"/>
      <c r="O91" s="176"/>
      <c r="P91" s="176"/>
      <c r="Q91" s="176"/>
    </row>
    <row r="92" spans="4:17" ht="15.6" hidden="1" outlineLevel="1">
      <c r="D92" s="176"/>
      <c r="E92" s="185" t="s">
        <v>487</v>
      </c>
      <c r="F92" s="185" t="s">
        <v>450</v>
      </c>
      <c r="G92" s="176"/>
      <c r="H92" s="176"/>
      <c r="I92" s="176"/>
      <c r="J92" s="176"/>
      <c r="K92" s="176"/>
      <c r="L92" s="176"/>
      <c r="M92" s="176"/>
      <c r="N92" s="176"/>
      <c r="O92" s="176"/>
      <c r="P92" s="176"/>
      <c r="Q92" s="176"/>
    </row>
    <row r="93" spans="4:17" ht="15.6" hidden="1" outlineLevel="1">
      <c r="D93" s="175" t="s">
        <v>488</v>
      </c>
      <c r="E93" s="186">
        <v>402</v>
      </c>
      <c r="F93" s="185" t="s">
        <v>489</v>
      </c>
      <c r="G93" s="176"/>
      <c r="H93" s="176"/>
      <c r="I93" s="176"/>
      <c r="J93" s="176"/>
      <c r="K93" s="176"/>
      <c r="L93" s="176"/>
      <c r="M93" s="176"/>
      <c r="N93" s="176"/>
      <c r="O93" s="176"/>
      <c r="P93" s="176"/>
      <c r="Q93" s="176"/>
    </row>
    <row r="94" spans="4:17" ht="15.6" hidden="1" outlineLevel="1">
      <c r="D94" s="176"/>
      <c r="E94" s="176"/>
      <c r="F94" s="176"/>
      <c r="G94" s="176"/>
      <c r="H94" s="176"/>
      <c r="I94" s="176"/>
      <c r="J94" s="176"/>
      <c r="K94" s="176"/>
      <c r="L94" s="176"/>
      <c r="M94" s="176"/>
      <c r="N94" s="176"/>
      <c r="O94" s="176"/>
      <c r="P94" s="176"/>
      <c r="Q94" s="176"/>
    </row>
    <row r="95" spans="4:17" ht="15.6" hidden="1" outlineLevel="1">
      <c r="D95" s="188" t="s">
        <v>486</v>
      </c>
      <c r="E95" s="176"/>
      <c r="F95" s="176"/>
      <c r="G95" s="176"/>
      <c r="H95" s="176"/>
      <c r="I95" s="176"/>
      <c r="J95" s="176"/>
      <c r="K95" s="176"/>
      <c r="L95" s="176"/>
      <c r="M95" s="176"/>
      <c r="N95" s="176"/>
      <c r="O95" s="176"/>
      <c r="P95" s="176"/>
      <c r="Q95" s="176"/>
    </row>
    <row r="96" spans="4:17" ht="15.6" hidden="1" outlineLevel="1">
      <c r="D96" s="187" t="s">
        <v>456</v>
      </c>
      <c r="E96" s="186">
        <v>54</v>
      </c>
      <c r="F96" s="185" t="s">
        <v>457</v>
      </c>
      <c r="G96" s="176"/>
      <c r="H96" s="176"/>
      <c r="I96" s="176"/>
      <c r="J96" s="176"/>
      <c r="K96" s="176"/>
      <c r="L96" s="176"/>
      <c r="M96" s="176"/>
      <c r="N96" s="176"/>
      <c r="O96" s="176"/>
      <c r="P96" s="176"/>
      <c r="Q96" s="176"/>
    </row>
    <row r="97" spans="4:17" ht="15.6" hidden="1" outlineLevel="1">
      <c r="D97" s="187" t="s">
        <v>458</v>
      </c>
      <c r="E97" s="186">
        <v>25</v>
      </c>
      <c r="F97" s="185" t="s">
        <v>459</v>
      </c>
      <c r="G97" s="176"/>
      <c r="H97" s="176"/>
      <c r="I97" s="176"/>
      <c r="J97" s="176"/>
      <c r="K97" s="176"/>
      <c r="L97" s="176"/>
      <c r="M97" s="176"/>
      <c r="N97" s="176"/>
      <c r="O97" s="176"/>
      <c r="P97" s="176"/>
      <c r="Q97" s="176"/>
    </row>
    <row r="98" spans="4:17" ht="15.6" hidden="1" outlineLevel="1">
      <c r="D98" s="187" t="s">
        <v>460</v>
      </c>
      <c r="E98" s="186">
        <v>980</v>
      </c>
      <c r="F98" s="185" t="s">
        <v>457</v>
      </c>
      <c r="G98" s="176"/>
      <c r="H98" s="176"/>
      <c r="I98" s="176"/>
      <c r="J98" s="176"/>
      <c r="K98" s="176"/>
      <c r="L98" s="176"/>
      <c r="M98" s="176"/>
      <c r="N98" s="176"/>
      <c r="O98" s="176"/>
      <c r="P98" s="176"/>
      <c r="Q98" s="176"/>
    </row>
    <row r="99" spans="4:17" ht="15.6" hidden="1" outlineLevel="1">
      <c r="D99" s="187" t="s">
        <v>483</v>
      </c>
      <c r="E99" s="186">
        <v>173.83</v>
      </c>
      <c r="F99" s="185" t="s">
        <v>457</v>
      </c>
      <c r="G99" s="176"/>
      <c r="H99" s="176"/>
      <c r="I99" s="176"/>
      <c r="J99" s="176"/>
      <c r="K99" s="176"/>
      <c r="L99" s="176"/>
      <c r="M99" s="176"/>
      <c r="N99" s="176"/>
      <c r="O99" s="176"/>
      <c r="P99" s="176"/>
      <c r="Q99" s="176"/>
    </row>
    <row r="100" spans="4:17" ht="15.6" hidden="1" outlineLevel="1">
      <c r="D100" s="187" t="s">
        <v>490</v>
      </c>
      <c r="E100" s="186">
        <v>402</v>
      </c>
      <c r="F100" s="185" t="s">
        <v>491</v>
      </c>
      <c r="G100" s="176"/>
      <c r="H100" s="176"/>
      <c r="I100" s="176"/>
      <c r="J100" s="176"/>
      <c r="K100" s="176"/>
      <c r="L100" s="176"/>
      <c r="M100" s="176"/>
      <c r="N100" s="176"/>
      <c r="O100" s="176"/>
      <c r="P100" s="176"/>
      <c r="Q100" s="176"/>
    </row>
    <row r="101" spans="4:17" ht="15.6" hidden="1" outlineLevel="1">
      <c r="D101" s="187" t="s">
        <v>492</v>
      </c>
      <c r="E101" s="186">
        <v>34.520000000000003</v>
      </c>
      <c r="F101" s="185" t="s">
        <v>493</v>
      </c>
      <c r="G101" s="176"/>
      <c r="H101" s="176"/>
      <c r="I101" s="176"/>
      <c r="J101" s="176"/>
      <c r="K101" s="176"/>
      <c r="L101" s="176"/>
      <c r="M101" s="176"/>
      <c r="N101" s="176"/>
      <c r="O101" s="176"/>
      <c r="P101" s="176"/>
      <c r="Q101" s="176"/>
    </row>
    <row r="102" spans="4:17" ht="15.6" hidden="1" outlineLevel="1">
      <c r="D102" s="176"/>
      <c r="E102" s="176"/>
      <c r="F102" s="176"/>
      <c r="G102" s="176"/>
      <c r="H102" s="176"/>
      <c r="I102" s="176"/>
      <c r="J102" s="176"/>
      <c r="K102" s="176"/>
      <c r="L102" s="176"/>
      <c r="M102" s="176"/>
      <c r="N102" s="176"/>
      <c r="O102" s="176"/>
      <c r="P102" s="176"/>
      <c r="Q102" s="176"/>
    </row>
    <row r="103" spans="4:17" ht="15.6" hidden="1" outlineLevel="1">
      <c r="D103" s="176"/>
      <c r="E103" s="176"/>
      <c r="F103" s="176"/>
      <c r="G103" s="176"/>
      <c r="H103" s="176"/>
      <c r="I103" s="176"/>
      <c r="J103" s="176"/>
      <c r="K103" s="176"/>
      <c r="L103" s="176"/>
      <c r="M103" s="176"/>
      <c r="N103" s="176"/>
      <c r="O103" s="176"/>
      <c r="P103" s="176"/>
      <c r="Q103" s="176"/>
    </row>
    <row r="104" spans="4:17" ht="15.6" hidden="1" outlineLevel="1">
      <c r="D104" s="10" t="s">
        <v>494</v>
      </c>
      <c r="E104" s="155">
        <v>2020</v>
      </c>
      <c r="F104" s="155">
        <v>2021</v>
      </c>
      <c r="G104" s="155">
        <v>2022</v>
      </c>
      <c r="H104" s="155">
        <v>2023</v>
      </c>
      <c r="I104" s="156">
        <v>2024</v>
      </c>
      <c r="J104" s="68" t="s">
        <v>415</v>
      </c>
      <c r="K104" s="176"/>
      <c r="L104" s="176"/>
      <c r="M104" s="176"/>
      <c r="N104" s="176"/>
      <c r="O104" s="176"/>
      <c r="P104" s="176"/>
      <c r="Q104" s="176"/>
    </row>
    <row r="105" spans="4:17" ht="15.6" hidden="1" outlineLevel="1">
      <c r="D105" s="149" t="s">
        <v>495</v>
      </c>
      <c r="E105" s="63" t="s">
        <v>418</v>
      </c>
      <c r="F105" s="63" t="s">
        <v>418</v>
      </c>
      <c r="G105" s="63">
        <v>101</v>
      </c>
      <c r="H105" s="63" t="s">
        <v>418</v>
      </c>
      <c r="I105" s="190">
        <v>313</v>
      </c>
      <c r="J105" s="177">
        <v>207</v>
      </c>
      <c r="K105" s="176"/>
      <c r="L105" s="176"/>
      <c r="M105" s="176"/>
      <c r="N105" s="176"/>
      <c r="O105" s="176"/>
      <c r="P105" s="176"/>
      <c r="Q105" s="176"/>
    </row>
    <row r="106" spans="4:17" ht="15.6" hidden="1" outlineLevel="1">
      <c r="D106" s="63" t="s">
        <v>496</v>
      </c>
      <c r="E106" s="63">
        <v>1660</v>
      </c>
      <c r="F106" s="63" t="s">
        <v>418</v>
      </c>
      <c r="G106" s="63">
        <v>101</v>
      </c>
      <c r="H106" s="63">
        <v>295</v>
      </c>
      <c r="I106" s="190">
        <v>410</v>
      </c>
      <c r="J106" s="177">
        <v>616.5</v>
      </c>
      <c r="K106" s="176"/>
      <c r="L106" s="176"/>
      <c r="M106" s="176"/>
      <c r="N106" s="176"/>
      <c r="O106" s="176"/>
      <c r="P106" s="176"/>
      <c r="Q106" s="176"/>
    </row>
    <row r="107" spans="4:17" ht="15.6" hidden="1" outlineLevel="1">
      <c r="D107" s="63" t="s">
        <v>497</v>
      </c>
      <c r="E107" s="63" t="s">
        <v>418</v>
      </c>
      <c r="F107" s="63" t="s">
        <v>418</v>
      </c>
      <c r="G107" s="63" t="s">
        <v>418</v>
      </c>
      <c r="H107" s="63" t="s">
        <v>418</v>
      </c>
      <c r="I107" s="190">
        <v>1497.5</v>
      </c>
      <c r="J107" s="177">
        <v>1497.5</v>
      </c>
      <c r="K107" s="176"/>
      <c r="L107" s="176"/>
      <c r="M107" s="176"/>
      <c r="N107" s="176"/>
      <c r="O107" s="176"/>
      <c r="P107" s="176"/>
      <c r="Q107" s="176"/>
    </row>
    <row r="108" spans="4:17" ht="15.6" hidden="1" outlineLevel="1">
      <c r="D108" s="63" t="s">
        <v>498</v>
      </c>
      <c r="E108" s="63" t="s">
        <v>418</v>
      </c>
      <c r="F108" s="63" t="s">
        <v>418</v>
      </c>
      <c r="G108" s="63" t="s">
        <v>418</v>
      </c>
      <c r="H108" s="63" t="s">
        <v>418</v>
      </c>
      <c r="I108" s="190">
        <v>606</v>
      </c>
      <c r="J108" s="177">
        <v>606</v>
      </c>
      <c r="K108" s="176"/>
      <c r="L108" s="176"/>
      <c r="M108" s="176"/>
      <c r="N108" s="176"/>
      <c r="O108" s="176"/>
      <c r="P108" s="176"/>
      <c r="Q108" s="176"/>
    </row>
    <row r="109" spans="4:17" ht="15.6" hidden="1" outlineLevel="1">
      <c r="D109" s="63" t="s">
        <v>499</v>
      </c>
      <c r="E109" s="1"/>
      <c r="F109" s="1"/>
      <c r="G109" s="176"/>
      <c r="H109" s="1"/>
      <c r="I109" s="1"/>
      <c r="J109" s="177"/>
      <c r="K109" s="176"/>
      <c r="L109" s="176"/>
      <c r="M109" s="176"/>
      <c r="N109" s="176"/>
      <c r="O109" s="176"/>
      <c r="P109" s="176"/>
      <c r="Q109" s="176"/>
    </row>
    <row r="110" spans="4:17" ht="15.6" hidden="1" outlineLevel="1">
      <c r="D110" s="1"/>
      <c r="E110" s="2"/>
      <c r="F110" s="2"/>
      <c r="G110" s="176"/>
      <c r="H110" s="2"/>
      <c r="I110" s="2"/>
      <c r="J110" s="178"/>
      <c r="K110" s="176"/>
      <c r="L110" s="176"/>
      <c r="M110" s="176"/>
      <c r="N110" s="176"/>
      <c r="O110" s="176"/>
      <c r="P110" s="176"/>
      <c r="Q110" s="176"/>
    </row>
    <row r="111" spans="4:17" ht="15.6" hidden="1" outlineLevel="1">
      <c r="D111" s="149" t="s">
        <v>500</v>
      </c>
      <c r="E111" s="63" t="s">
        <v>418</v>
      </c>
      <c r="F111" s="63" t="s">
        <v>418</v>
      </c>
      <c r="G111" s="176"/>
      <c r="H111" s="63">
        <v>216</v>
      </c>
      <c r="I111" s="190">
        <v>206</v>
      </c>
      <c r="J111" s="177">
        <v>211</v>
      </c>
      <c r="K111" s="176"/>
      <c r="L111" s="176"/>
      <c r="M111" s="176"/>
      <c r="N111" s="176"/>
      <c r="O111" s="176"/>
      <c r="P111" s="176"/>
      <c r="Q111" s="176"/>
    </row>
    <row r="112" spans="4:17" ht="15.6" hidden="1" outlineLevel="1">
      <c r="D112" s="63" t="s">
        <v>496</v>
      </c>
      <c r="E112" s="63" t="s">
        <v>418</v>
      </c>
      <c r="F112" s="63" t="s">
        <v>418</v>
      </c>
      <c r="G112" s="176"/>
      <c r="H112" s="63" t="s">
        <v>418</v>
      </c>
      <c r="I112" s="190">
        <v>302</v>
      </c>
      <c r="J112" s="177">
        <v>302</v>
      </c>
      <c r="K112" s="176"/>
      <c r="L112" s="176"/>
      <c r="M112" s="176"/>
      <c r="N112" s="176"/>
      <c r="O112" s="176"/>
      <c r="P112" s="176"/>
      <c r="Q112" s="176"/>
    </row>
    <row r="113" spans="4:17" ht="15.6" hidden="1" outlineLevel="1">
      <c r="D113" s="63" t="s">
        <v>497</v>
      </c>
      <c r="E113" s="63" t="s">
        <v>418</v>
      </c>
      <c r="F113" s="63" t="s">
        <v>418</v>
      </c>
      <c r="G113" s="176"/>
      <c r="H113" s="63" t="s">
        <v>418</v>
      </c>
      <c r="I113" s="190">
        <v>383</v>
      </c>
      <c r="J113" s="177">
        <v>383</v>
      </c>
      <c r="K113" s="176"/>
      <c r="L113" s="176"/>
      <c r="M113" s="176"/>
      <c r="N113" s="176"/>
      <c r="O113" s="176"/>
      <c r="P113" s="176"/>
      <c r="Q113" s="176"/>
    </row>
    <row r="114" spans="4:17" ht="15.6" hidden="1" outlineLevel="1">
      <c r="D114" s="63" t="s">
        <v>498</v>
      </c>
      <c r="E114" s="63" t="s">
        <v>418</v>
      </c>
      <c r="F114" s="63" t="s">
        <v>418</v>
      </c>
      <c r="G114" s="176"/>
      <c r="H114" s="63" t="s">
        <v>418</v>
      </c>
      <c r="I114" s="190">
        <v>482</v>
      </c>
      <c r="J114" s="177">
        <v>482</v>
      </c>
      <c r="K114" s="176"/>
      <c r="L114" s="176"/>
      <c r="M114" s="176"/>
      <c r="N114" s="176"/>
      <c r="O114" s="176"/>
      <c r="P114" s="176"/>
      <c r="Q114" s="176"/>
    </row>
    <row r="115" spans="4:17" ht="15.6" hidden="1" outlineLevel="1">
      <c r="D115" s="63" t="s">
        <v>499</v>
      </c>
      <c r="E115" s="1"/>
      <c r="F115" s="1"/>
      <c r="G115" s="176"/>
      <c r="H115" s="1"/>
      <c r="I115" s="1"/>
      <c r="J115" s="177"/>
      <c r="K115" s="176"/>
      <c r="L115" s="176"/>
      <c r="M115" s="176"/>
      <c r="N115" s="176"/>
      <c r="O115" s="176"/>
      <c r="P115" s="176"/>
      <c r="Q115" s="176"/>
    </row>
    <row r="116" spans="4:17" ht="15.6" hidden="1" outlineLevel="1">
      <c r="D116" s="1"/>
      <c r="E116" s="63" t="s">
        <v>418</v>
      </c>
      <c r="F116" s="63">
        <v>3500</v>
      </c>
      <c r="G116" s="176"/>
      <c r="H116" s="63" t="s">
        <v>418</v>
      </c>
      <c r="I116" s="190" t="s">
        <v>418</v>
      </c>
      <c r="J116" s="177">
        <v>3500</v>
      </c>
      <c r="K116" s="176"/>
      <c r="L116" s="176"/>
      <c r="M116" s="176"/>
      <c r="N116" s="176"/>
      <c r="O116" s="176"/>
      <c r="P116" s="176"/>
      <c r="Q116" s="176"/>
    </row>
    <row r="117" spans="4:17" ht="15.6" hidden="1" outlineLevel="1">
      <c r="D117" s="155" t="s">
        <v>501</v>
      </c>
      <c r="E117" s="176"/>
      <c r="F117" s="176"/>
      <c r="G117" s="176"/>
      <c r="H117" s="2"/>
      <c r="I117" s="2"/>
      <c r="J117" s="178"/>
      <c r="K117" s="176"/>
      <c r="L117" s="176"/>
      <c r="M117" s="176"/>
      <c r="N117" s="176"/>
      <c r="O117" s="176"/>
      <c r="P117" s="176"/>
      <c r="Q117" s="176"/>
    </row>
    <row r="118" spans="4:17" ht="15.6" hidden="1" outlineLevel="1">
      <c r="D118" s="2"/>
      <c r="E118" s="176"/>
      <c r="F118" s="176"/>
      <c r="G118" s="176"/>
      <c r="H118" s="2"/>
      <c r="I118" s="2"/>
      <c r="J118" s="178"/>
      <c r="K118" s="176"/>
      <c r="L118" s="176"/>
      <c r="M118" s="176"/>
      <c r="N118" s="176"/>
      <c r="O118" s="176"/>
      <c r="P118" s="176"/>
      <c r="Q118" s="176"/>
    </row>
    <row r="119" spans="4:17" ht="15.6" hidden="1" outlineLevel="1">
      <c r="D119" s="149" t="s">
        <v>502</v>
      </c>
      <c r="E119" s="176"/>
      <c r="F119" s="176"/>
      <c r="G119" s="176"/>
      <c r="H119" s="176"/>
      <c r="I119" s="176"/>
      <c r="J119" s="178"/>
      <c r="K119" s="176"/>
      <c r="L119" s="176"/>
      <c r="M119" s="176"/>
      <c r="N119" s="176"/>
      <c r="O119" s="176"/>
      <c r="P119" s="176"/>
      <c r="Q119" s="176"/>
    </row>
    <row r="120" spans="4:17" ht="15.6" hidden="1" outlineLevel="1">
      <c r="D120" s="63" t="s">
        <v>503</v>
      </c>
      <c r="E120" s="176"/>
      <c r="F120" s="176"/>
      <c r="G120" s="176"/>
      <c r="H120" s="63">
        <v>974</v>
      </c>
      <c r="I120" s="190" t="s">
        <v>418</v>
      </c>
      <c r="J120" s="177">
        <v>974</v>
      </c>
      <c r="K120" s="176"/>
      <c r="L120" s="176"/>
      <c r="M120" s="176"/>
      <c r="N120" s="176"/>
      <c r="O120" s="176"/>
      <c r="P120" s="176"/>
      <c r="Q120" s="176"/>
    </row>
    <row r="121" spans="4:17" ht="15.6" hidden="1" outlineLevel="1">
      <c r="D121" s="63" t="s">
        <v>504</v>
      </c>
      <c r="E121" s="176"/>
      <c r="F121" s="176"/>
      <c r="G121" s="176"/>
      <c r="H121" s="63" t="s">
        <v>418</v>
      </c>
      <c r="I121" s="190">
        <v>75</v>
      </c>
      <c r="J121" s="177">
        <v>75</v>
      </c>
      <c r="K121" s="176"/>
      <c r="L121" s="176"/>
      <c r="M121" s="176"/>
      <c r="N121" s="176"/>
      <c r="O121" s="176"/>
      <c r="P121" s="176"/>
      <c r="Q121" s="176"/>
    </row>
    <row r="122" spans="4:17" ht="15.6" hidden="1" outlineLevel="1">
      <c r="D122" s="1"/>
      <c r="E122" s="176"/>
      <c r="F122" s="176"/>
      <c r="G122" s="176"/>
      <c r="H122" s="1"/>
      <c r="I122" s="176"/>
      <c r="J122" s="178"/>
      <c r="K122" s="176"/>
      <c r="L122" s="176"/>
      <c r="M122" s="176"/>
      <c r="N122" s="176"/>
      <c r="O122" s="176"/>
      <c r="P122" s="176"/>
      <c r="Q122" s="176"/>
    </row>
    <row r="123" spans="4:17" ht="15.6" hidden="1" outlineLevel="1">
      <c r="D123" s="155" t="s">
        <v>505</v>
      </c>
      <c r="E123" s="176"/>
      <c r="F123" s="176"/>
      <c r="G123" s="176"/>
      <c r="H123" s="63">
        <v>521</v>
      </c>
      <c r="I123" s="176"/>
      <c r="J123" s="177">
        <v>521</v>
      </c>
      <c r="K123" s="176"/>
      <c r="L123" s="176"/>
      <c r="M123" s="176"/>
      <c r="N123" s="176"/>
      <c r="O123" s="176"/>
      <c r="P123" s="176"/>
      <c r="Q123" s="176"/>
    </row>
    <row r="124" spans="4:17" ht="15.6" hidden="1" outlineLevel="1">
      <c r="D124" s="155" t="s">
        <v>506</v>
      </c>
      <c r="E124" s="176"/>
      <c r="F124" s="176"/>
      <c r="G124" s="176"/>
      <c r="H124" s="63">
        <v>108</v>
      </c>
      <c r="I124" s="176"/>
      <c r="J124" s="177">
        <v>76.5</v>
      </c>
      <c r="K124" s="176"/>
      <c r="L124" s="176"/>
      <c r="M124" s="176"/>
      <c r="N124" s="176"/>
      <c r="O124" s="176"/>
      <c r="P124" s="176"/>
      <c r="Q124" s="176"/>
    </row>
    <row r="125" spans="4:17" ht="15.6" hidden="1" outlineLevel="1">
      <c r="D125" s="63" t="s">
        <v>507</v>
      </c>
      <c r="E125" s="176"/>
      <c r="F125" s="176"/>
      <c r="G125" s="176"/>
      <c r="H125" s="63">
        <v>202</v>
      </c>
      <c r="I125" s="176"/>
      <c r="J125" s="177">
        <v>202</v>
      </c>
      <c r="K125" s="176"/>
      <c r="L125" s="176"/>
      <c r="M125" s="176"/>
      <c r="N125" s="176"/>
      <c r="O125" s="176"/>
      <c r="P125" s="176"/>
      <c r="Q125" s="176"/>
    </row>
    <row r="126" spans="4:17" ht="15.6" hidden="1" outlineLevel="1">
      <c r="D126" s="63" t="s">
        <v>508</v>
      </c>
      <c r="E126" s="176"/>
      <c r="F126" s="176"/>
      <c r="G126" s="176"/>
      <c r="H126" s="63">
        <v>157</v>
      </c>
      <c r="I126" s="176"/>
      <c r="J126" s="177">
        <v>157</v>
      </c>
      <c r="K126" s="176"/>
      <c r="L126" s="176"/>
      <c r="M126" s="176"/>
      <c r="N126" s="176"/>
      <c r="O126" s="176"/>
      <c r="P126" s="176"/>
      <c r="Q126" s="176"/>
    </row>
    <row r="127" spans="4:17" ht="15.6" hidden="1" outlineLevel="1">
      <c r="D127" s="63" t="s">
        <v>509</v>
      </c>
      <c r="E127" s="176"/>
      <c r="F127" s="176"/>
      <c r="G127" s="176"/>
      <c r="H127" s="63">
        <v>34.520000000000003</v>
      </c>
      <c r="I127" s="176"/>
      <c r="J127" s="177">
        <v>34.520000000000003</v>
      </c>
      <c r="K127" s="176"/>
      <c r="L127" s="176"/>
      <c r="M127" s="176"/>
      <c r="N127" s="176"/>
      <c r="O127" s="176"/>
      <c r="P127" s="176"/>
      <c r="Q127" s="176"/>
    </row>
    <row r="128" spans="4:17" ht="15.6" hidden="1" outlineLevel="1">
      <c r="D128" s="63" t="s">
        <v>510</v>
      </c>
      <c r="E128" s="176"/>
      <c r="F128" s="176"/>
      <c r="G128" s="176"/>
      <c r="H128" s="2"/>
      <c r="I128" s="176"/>
      <c r="J128" s="178"/>
      <c r="K128" s="176"/>
      <c r="L128" s="176"/>
      <c r="M128" s="176"/>
      <c r="N128" s="176"/>
      <c r="O128" s="176"/>
      <c r="P128" s="176"/>
      <c r="Q128" s="176"/>
    </row>
    <row r="129" spans="4:17" ht="15.6" hidden="1" outlineLevel="1">
      <c r="D129" s="1"/>
      <c r="E129" s="176"/>
      <c r="F129" s="176"/>
      <c r="G129" s="176"/>
      <c r="H129" s="2"/>
      <c r="I129" s="176"/>
      <c r="J129" s="178"/>
      <c r="K129" s="176"/>
      <c r="L129" s="176"/>
      <c r="M129" s="176"/>
      <c r="N129" s="176"/>
      <c r="O129" s="176"/>
      <c r="P129" s="176"/>
      <c r="Q129" s="176"/>
    </row>
    <row r="130" spans="4:17" ht="15.6" hidden="1" outlineLevel="1">
      <c r="D130" s="149" t="s">
        <v>511</v>
      </c>
      <c r="E130" s="176"/>
      <c r="F130" s="176"/>
      <c r="G130" s="176"/>
      <c r="H130" s="176"/>
      <c r="I130" s="176"/>
      <c r="J130" s="178"/>
      <c r="K130" s="176"/>
      <c r="L130" s="176"/>
      <c r="M130" s="176"/>
      <c r="N130" s="176"/>
      <c r="O130" s="176"/>
      <c r="P130" s="176"/>
      <c r="Q130" s="176"/>
    </row>
    <row r="131" spans="4:17" ht="15.6" hidden="1" outlineLevel="1">
      <c r="D131" s="63" t="s">
        <v>512</v>
      </c>
      <c r="E131" s="176"/>
      <c r="F131" s="176"/>
      <c r="G131" s="176"/>
      <c r="H131" s="63">
        <v>360</v>
      </c>
      <c r="I131" s="176"/>
      <c r="J131" s="177">
        <v>360</v>
      </c>
      <c r="K131" s="176"/>
      <c r="L131" s="176"/>
      <c r="M131" s="176"/>
      <c r="N131" s="176"/>
      <c r="O131" s="176"/>
      <c r="P131" s="176"/>
      <c r="Q131" s="176"/>
    </row>
    <row r="132" spans="4:17" ht="15.6" hidden="1" outlineLevel="1">
      <c r="D132" s="63" t="s">
        <v>513</v>
      </c>
      <c r="E132" s="176"/>
      <c r="F132" s="176"/>
      <c r="G132" s="176"/>
      <c r="H132" s="63">
        <v>240</v>
      </c>
      <c r="I132" s="176"/>
      <c r="J132" s="177">
        <v>240</v>
      </c>
      <c r="K132" s="176"/>
      <c r="L132" s="176"/>
      <c r="M132" s="176"/>
      <c r="N132" s="176"/>
      <c r="O132" s="176"/>
      <c r="P132" s="176"/>
      <c r="Q132" s="176"/>
    </row>
    <row r="133" spans="4:17" ht="15.6" hidden="1" outlineLevel="1">
      <c r="D133" s="63" t="s">
        <v>514</v>
      </c>
      <c r="E133" s="176"/>
      <c r="F133" s="176"/>
      <c r="G133" s="176"/>
      <c r="H133" s="63">
        <v>360</v>
      </c>
      <c r="I133" s="176"/>
      <c r="J133" s="177">
        <v>360</v>
      </c>
      <c r="K133" s="176"/>
      <c r="L133" s="176"/>
      <c r="M133" s="176"/>
      <c r="N133" s="176"/>
      <c r="O133" s="176"/>
      <c r="P133" s="176"/>
      <c r="Q133" s="176"/>
    </row>
    <row r="134" spans="4:17" ht="15.6" hidden="1" outlineLevel="1">
      <c r="D134" s="63" t="s">
        <v>515</v>
      </c>
      <c r="E134" s="176"/>
      <c r="F134" s="176"/>
      <c r="G134" s="176"/>
      <c r="H134" s="63">
        <v>60</v>
      </c>
      <c r="I134" s="176"/>
      <c r="J134" s="177">
        <v>60</v>
      </c>
      <c r="K134" s="176"/>
      <c r="L134" s="176"/>
      <c r="M134" s="176"/>
      <c r="N134" s="176"/>
      <c r="O134" s="176"/>
      <c r="P134" s="176"/>
      <c r="Q134" s="176"/>
    </row>
    <row r="135" spans="4:17" ht="15.6" hidden="1" outlineLevel="1">
      <c r="D135" s="63" t="s">
        <v>516</v>
      </c>
      <c r="E135" s="176"/>
      <c r="F135" s="176"/>
      <c r="G135" s="176"/>
      <c r="H135" s="63">
        <v>80</v>
      </c>
      <c r="I135" s="176"/>
      <c r="J135" s="177">
        <v>80</v>
      </c>
      <c r="K135" s="176"/>
      <c r="L135" s="176"/>
      <c r="M135" s="176"/>
      <c r="N135" s="176"/>
      <c r="O135" s="176"/>
      <c r="P135" s="176"/>
      <c r="Q135" s="176"/>
    </row>
    <row r="136" spans="4:17" ht="15.6" hidden="1" outlineLevel="1">
      <c r="D136" s="63" t="s">
        <v>517</v>
      </c>
      <c r="E136" s="176"/>
      <c r="F136" s="176"/>
      <c r="G136" s="176"/>
      <c r="H136" s="63">
        <v>500</v>
      </c>
      <c r="I136" s="176"/>
      <c r="J136" s="177">
        <v>500</v>
      </c>
      <c r="K136" s="176"/>
      <c r="L136" s="176"/>
      <c r="M136" s="176"/>
      <c r="N136" s="176"/>
      <c r="O136" s="176"/>
      <c r="P136" s="176"/>
      <c r="Q136" s="176"/>
    </row>
    <row r="137" spans="4:17" ht="15.6" hidden="1" outlineLevel="1">
      <c r="D137" s="63" t="s">
        <v>518</v>
      </c>
      <c r="E137" s="176"/>
      <c r="F137" s="176"/>
      <c r="G137" s="176"/>
      <c r="H137" s="63" t="s">
        <v>418</v>
      </c>
      <c r="I137" s="176"/>
      <c r="J137" s="177">
        <v>1</v>
      </c>
      <c r="K137" s="176"/>
      <c r="L137" s="176"/>
      <c r="M137" s="176"/>
      <c r="N137" s="176"/>
      <c r="O137" s="176"/>
      <c r="P137" s="176"/>
      <c r="Q137" s="176"/>
    </row>
    <row r="138" spans="4:17" ht="15.6" hidden="1" outlineLevel="1">
      <c r="D138" s="176"/>
      <c r="E138" s="176"/>
      <c r="F138" s="176"/>
      <c r="G138" s="176"/>
      <c r="H138" s="176"/>
      <c r="I138" s="176"/>
      <c r="J138" s="176"/>
      <c r="K138" s="176"/>
      <c r="L138" s="176"/>
      <c r="M138" s="176"/>
      <c r="N138" s="176"/>
      <c r="O138" s="176"/>
      <c r="P138" s="176"/>
      <c r="Q138" s="176"/>
    </row>
    <row r="139" spans="4:17" ht="15.95" hidden="1" outlineLevel="1" thickBot="1">
      <c r="D139" s="176"/>
      <c r="E139" s="176"/>
      <c r="F139" s="176"/>
      <c r="G139" s="176"/>
      <c r="H139" s="176"/>
      <c r="I139" s="176"/>
      <c r="J139" s="176"/>
      <c r="K139" s="176"/>
      <c r="L139" s="176"/>
      <c r="M139" s="176"/>
      <c r="N139" s="176"/>
      <c r="O139" s="176"/>
      <c r="P139" s="176"/>
      <c r="Q139" s="176"/>
    </row>
    <row r="140" spans="4:17" ht="30.95" hidden="1" outlineLevel="1">
      <c r="D140" s="155" t="s">
        <v>414</v>
      </c>
      <c r="E140" s="155">
        <v>2022</v>
      </c>
      <c r="F140" s="155">
        <v>2023</v>
      </c>
      <c r="G140" s="156">
        <v>2024</v>
      </c>
      <c r="H140" s="247" t="s">
        <v>415</v>
      </c>
      <c r="I140" s="176"/>
      <c r="J140" s="176"/>
      <c r="K140" s="176"/>
      <c r="L140" s="176"/>
      <c r="M140" s="176"/>
      <c r="N140" s="176"/>
      <c r="O140" s="176"/>
      <c r="P140" s="176"/>
      <c r="Q140" s="176"/>
    </row>
    <row r="141" spans="4:17" ht="15.6" hidden="1" outlineLevel="1">
      <c r="D141" s="63" t="s">
        <v>354</v>
      </c>
      <c r="E141" s="244">
        <v>80</v>
      </c>
      <c r="F141" s="191">
        <v>133.5</v>
      </c>
      <c r="G141" s="192">
        <v>106.89999999999999</v>
      </c>
      <c r="H141" s="248">
        <f t="shared" ref="H141:H146" si="0">AVERAGE(E141:G141)</f>
        <v>106.8</v>
      </c>
      <c r="I141" s="176"/>
      <c r="J141" s="176"/>
      <c r="K141" s="176"/>
      <c r="L141" s="176"/>
      <c r="M141" s="176"/>
      <c r="N141" s="176"/>
      <c r="O141" s="176"/>
      <c r="P141" s="176"/>
      <c r="Q141" s="176"/>
    </row>
    <row r="142" spans="4:17" ht="15.6" hidden="1" outlineLevel="1">
      <c r="D142" s="63" t="s">
        <v>355</v>
      </c>
      <c r="E142" s="191">
        <v>98</v>
      </c>
      <c r="F142" s="244">
        <v>216.75</v>
      </c>
      <c r="G142" s="192">
        <v>114.89999999999999</v>
      </c>
      <c r="H142" s="248">
        <f t="shared" si="0"/>
        <v>143.21666666666667</v>
      </c>
      <c r="I142" s="176"/>
      <c r="J142" s="176"/>
      <c r="K142" s="176"/>
      <c r="L142" s="176"/>
      <c r="M142" s="176"/>
      <c r="N142" s="176"/>
      <c r="O142" s="176"/>
      <c r="P142" s="176"/>
      <c r="Q142" s="176"/>
    </row>
    <row r="143" spans="4:17" ht="15.6" hidden="1" outlineLevel="1">
      <c r="D143" s="63" t="s">
        <v>356</v>
      </c>
      <c r="E143" s="191">
        <v>116</v>
      </c>
      <c r="F143" s="191">
        <v>300</v>
      </c>
      <c r="G143" s="192">
        <v>135.5</v>
      </c>
      <c r="H143" s="248">
        <f t="shared" si="0"/>
        <v>183.83333333333334</v>
      </c>
      <c r="I143" s="176"/>
      <c r="J143" s="176">
        <f>133.5+83.25</f>
        <v>216.75</v>
      </c>
      <c r="K143" s="176"/>
      <c r="L143" s="176"/>
      <c r="M143" s="176"/>
      <c r="N143" s="176"/>
      <c r="O143" s="176"/>
      <c r="P143" s="176"/>
      <c r="Q143" s="176"/>
    </row>
    <row r="144" spans="4:17" ht="15.6" hidden="1" outlineLevel="1">
      <c r="D144" s="63" t="s">
        <v>357</v>
      </c>
      <c r="E144" s="244">
        <v>134</v>
      </c>
      <c r="F144" s="244">
        <v>383.25</v>
      </c>
      <c r="G144" s="243">
        <v>147.69999999999999</v>
      </c>
      <c r="H144" s="248">
        <f t="shared" si="0"/>
        <v>221.65</v>
      </c>
      <c r="I144" s="176"/>
      <c r="J144" s="176">
        <f>(300-133.5)/2</f>
        <v>83.25</v>
      </c>
      <c r="K144" s="176"/>
      <c r="L144" s="176"/>
      <c r="M144" s="176"/>
      <c r="N144" s="176"/>
      <c r="O144" s="176"/>
      <c r="P144" s="176"/>
      <c r="Q144" s="176"/>
    </row>
    <row r="145" spans="4:17" ht="15.6" hidden="1" outlineLevel="1">
      <c r="D145" s="63" t="s">
        <v>358</v>
      </c>
      <c r="E145" s="244">
        <v>152</v>
      </c>
      <c r="F145" s="244">
        <v>466.5</v>
      </c>
      <c r="G145" s="243">
        <v>162</v>
      </c>
      <c r="H145" s="248">
        <f t="shared" si="0"/>
        <v>260.16666666666669</v>
      </c>
      <c r="I145" s="176"/>
      <c r="J145" s="176"/>
      <c r="K145" s="176"/>
      <c r="L145" s="176"/>
      <c r="M145" s="176"/>
      <c r="N145" s="176"/>
      <c r="O145" s="176"/>
      <c r="P145" s="176"/>
      <c r="Q145" s="176"/>
    </row>
    <row r="146" spans="4:17" ht="15.6" hidden="1" outlineLevel="1">
      <c r="D146" s="63" t="s">
        <v>359</v>
      </c>
      <c r="E146" s="191">
        <v>258</v>
      </c>
      <c r="F146" s="244">
        <v>549.75</v>
      </c>
      <c r="G146" s="243">
        <v>176.3</v>
      </c>
      <c r="H146" s="248">
        <f t="shared" si="0"/>
        <v>328.01666666666665</v>
      </c>
      <c r="I146" s="176"/>
      <c r="J146" s="176"/>
      <c r="K146" s="176"/>
      <c r="L146" s="176"/>
      <c r="M146" s="176"/>
      <c r="N146" s="176"/>
      <c r="O146" s="176"/>
      <c r="P146" s="176"/>
      <c r="Q146" s="176"/>
    </row>
    <row r="147" spans="4:17" ht="15.6" hidden="1" outlineLevel="1">
      <c r="D147" s="1"/>
      <c r="E147" s="11"/>
      <c r="F147" s="11"/>
      <c r="G147" s="11"/>
      <c r="H147" s="249"/>
      <c r="I147" s="176"/>
      <c r="J147" s="176"/>
      <c r="K147" s="176"/>
      <c r="L147" s="176"/>
      <c r="M147" s="176"/>
      <c r="N147" s="176"/>
      <c r="O147" s="176"/>
      <c r="P147" s="176"/>
      <c r="Q147" s="176"/>
    </row>
    <row r="148" spans="4:17" ht="15.6" hidden="1" outlineLevel="1">
      <c r="D148" s="155" t="s">
        <v>416</v>
      </c>
      <c r="E148" s="193"/>
      <c r="F148" s="193"/>
      <c r="G148" s="193"/>
      <c r="H148" s="249"/>
      <c r="I148" s="176"/>
      <c r="J148" s="176"/>
      <c r="K148" s="176"/>
      <c r="L148" s="176"/>
      <c r="M148" s="176"/>
      <c r="N148" s="176"/>
      <c r="O148" s="176"/>
      <c r="P148" s="176"/>
      <c r="Q148" s="176"/>
    </row>
    <row r="149" spans="4:17" ht="15.6" hidden="1" outlineLevel="1">
      <c r="D149" s="63" t="s">
        <v>519</v>
      </c>
      <c r="E149" s="69">
        <v>314</v>
      </c>
      <c r="F149" s="69" t="s">
        <v>418</v>
      </c>
      <c r="G149" s="159">
        <v>176.5</v>
      </c>
      <c r="H149" s="248">
        <f t="shared" ref="H149:H154" si="1">AVERAGE(E149:G149)</f>
        <v>245.25</v>
      </c>
      <c r="I149" s="176"/>
      <c r="J149" s="176"/>
      <c r="K149" s="176"/>
      <c r="L149" s="176"/>
      <c r="M149" s="176"/>
      <c r="N149" s="176"/>
      <c r="O149" s="176"/>
      <c r="P149" s="176"/>
      <c r="Q149" s="176"/>
    </row>
    <row r="150" spans="4:17" ht="15.6" hidden="1" outlineLevel="1">
      <c r="D150" s="63" t="s">
        <v>440</v>
      </c>
      <c r="E150" s="191">
        <v>346</v>
      </c>
      <c r="F150" s="191" t="s">
        <v>418</v>
      </c>
      <c r="G150" s="192">
        <v>184.5</v>
      </c>
      <c r="H150" s="248">
        <f t="shared" si="1"/>
        <v>265.25</v>
      </c>
      <c r="I150" s="176"/>
      <c r="J150" s="176"/>
      <c r="K150" s="176"/>
      <c r="L150" s="176"/>
      <c r="M150" s="176"/>
      <c r="N150" s="176"/>
      <c r="O150" s="176"/>
      <c r="P150" s="176"/>
      <c r="Q150" s="176"/>
    </row>
    <row r="151" spans="4:17" ht="15.6" hidden="1" outlineLevel="1">
      <c r="D151" s="63" t="s">
        <v>441</v>
      </c>
      <c r="E151" s="191">
        <v>488</v>
      </c>
      <c r="F151" s="191" t="s">
        <v>418</v>
      </c>
      <c r="G151" s="192">
        <v>210</v>
      </c>
      <c r="H151" s="248">
        <f t="shared" si="1"/>
        <v>349</v>
      </c>
      <c r="I151" s="176"/>
      <c r="J151" s="176"/>
      <c r="K151" s="176"/>
      <c r="L151" s="176"/>
      <c r="M151" s="176"/>
      <c r="N151" s="176"/>
      <c r="O151" s="176"/>
      <c r="P151" s="176"/>
      <c r="Q151" s="176"/>
    </row>
    <row r="152" spans="4:17" ht="15.6" hidden="1" outlineLevel="1">
      <c r="D152" s="63" t="s">
        <v>520</v>
      </c>
      <c r="E152" s="245">
        <v>556.66666666666697</v>
      </c>
      <c r="F152" s="191"/>
      <c r="G152" s="246">
        <v>223.833333333333</v>
      </c>
      <c r="H152" s="248">
        <f t="shared" si="1"/>
        <v>390.25</v>
      </c>
      <c r="I152" s="176"/>
      <c r="J152" s="176"/>
      <c r="K152" s="176"/>
      <c r="L152" s="176"/>
      <c r="M152" s="176"/>
      <c r="N152" s="176"/>
      <c r="O152" s="176"/>
      <c r="P152" s="176"/>
      <c r="Q152" s="176"/>
    </row>
    <row r="153" spans="4:17" ht="15.6" hidden="1" outlineLevel="1">
      <c r="D153" s="63" t="s">
        <v>521</v>
      </c>
      <c r="E153" s="245">
        <v>643.66666666666697</v>
      </c>
      <c r="F153" s="191"/>
      <c r="G153" s="246">
        <v>240.583333333333</v>
      </c>
      <c r="H153" s="248">
        <f t="shared" si="1"/>
        <v>442.125</v>
      </c>
      <c r="I153" s="176"/>
      <c r="J153" s="176"/>
      <c r="K153" s="176"/>
      <c r="L153" s="176"/>
      <c r="M153" s="176"/>
      <c r="N153" s="176"/>
      <c r="O153" s="176"/>
      <c r="P153" s="176"/>
      <c r="Q153" s="176"/>
    </row>
    <row r="154" spans="4:17" ht="15.6" hidden="1" outlineLevel="1">
      <c r="D154" s="63" t="s">
        <v>522</v>
      </c>
      <c r="E154" s="245">
        <v>730.66666666666697</v>
      </c>
      <c r="F154" s="191" t="s">
        <v>418</v>
      </c>
      <c r="G154" s="246">
        <v>257.33333333333297</v>
      </c>
      <c r="H154" s="248">
        <f t="shared" si="1"/>
        <v>494</v>
      </c>
      <c r="I154" s="176"/>
      <c r="J154" s="176"/>
      <c r="K154" s="176"/>
      <c r="L154" s="176"/>
      <c r="M154" s="176"/>
      <c r="N154" s="176"/>
      <c r="O154" s="176"/>
      <c r="P154" s="176"/>
      <c r="Q154" s="176"/>
    </row>
    <row r="155" spans="4:17" ht="15.6" hidden="1" outlineLevel="1">
      <c r="D155" s="1"/>
      <c r="E155" s="1"/>
      <c r="F155" s="1"/>
      <c r="G155" s="1"/>
      <c r="H155" s="249"/>
      <c r="I155" s="176"/>
      <c r="J155" s="176"/>
      <c r="K155" s="176"/>
      <c r="L155" s="176"/>
      <c r="M155" s="176"/>
      <c r="N155" s="176"/>
      <c r="O155" s="176"/>
      <c r="P155" s="176"/>
      <c r="Q155" s="176"/>
    </row>
    <row r="156" spans="4:17" ht="15.6" hidden="1" outlineLevel="1">
      <c r="D156" s="149" t="s">
        <v>523</v>
      </c>
      <c r="E156" s="193"/>
      <c r="F156" s="193"/>
      <c r="G156" s="193"/>
      <c r="H156" s="249"/>
      <c r="I156" s="176"/>
      <c r="J156" s="176"/>
      <c r="K156" s="176"/>
      <c r="L156" s="176"/>
      <c r="M156" s="176"/>
      <c r="N156" s="176"/>
      <c r="O156" s="176"/>
      <c r="P156" s="176"/>
      <c r="Q156" s="176"/>
    </row>
    <row r="157" spans="4:17" ht="15.6" hidden="1" outlineLevel="1">
      <c r="D157" s="63" t="s">
        <v>354</v>
      </c>
      <c r="E157" s="69"/>
      <c r="F157" s="69"/>
      <c r="G157" s="159"/>
      <c r="H157" s="248">
        <v>0</v>
      </c>
      <c r="I157" s="176"/>
      <c r="J157" s="176"/>
      <c r="K157" s="176"/>
      <c r="L157" s="176"/>
      <c r="M157" s="176"/>
      <c r="N157" s="176"/>
      <c r="O157" s="176"/>
      <c r="P157" s="176"/>
      <c r="Q157" s="176"/>
    </row>
    <row r="158" spans="4:17" ht="15.6" hidden="1" outlineLevel="1">
      <c r="D158" s="63" t="s">
        <v>355</v>
      </c>
      <c r="E158" s="191">
        <v>75</v>
      </c>
      <c r="F158" s="191">
        <v>54</v>
      </c>
      <c r="G158" s="192" t="s">
        <v>418</v>
      </c>
      <c r="H158" s="248">
        <v>64.5</v>
      </c>
      <c r="I158" s="176"/>
      <c r="J158" s="176"/>
      <c r="K158" s="176"/>
      <c r="L158" s="176"/>
      <c r="M158" s="176"/>
      <c r="N158" s="176"/>
      <c r="O158" s="176"/>
      <c r="P158" s="176"/>
      <c r="Q158" s="176"/>
    </row>
    <row r="159" spans="4:17" ht="15.6" hidden="1" outlineLevel="1">
      <c r="D159" s="63" t="s">
        <v>356</v>
      </c>
      <c r="E159" s="191">
        <v>120</v>
      </c>
      <c r="F159" s="191">
        <v>54</v>
      </c>
      <c r="G159" s="192" t="s">
        <v>418</v>
      </c>
      <c r="H159" s="248">
        <v>87</v>
      </c>
      <c r="I159" s="176"/>
      <c r="J159" s="176"/>
      <c r="K159" s="176"/>
      <c r="L159" s="176"/>
      <c r="M159" s="176"/>
      <c r="N159" s="176"/>
      <c r="O159" s="176"/>
      <c r="P159" s="176"/>
      <c r="Q159" s="176"/>
    </row>
    <row r="160" spans="4:17" ht="15.6" hidden="1" outlineLevel="1">
      <c r="D160" s="63" t="s">
        <v>357</v>
      </c>
      <c r="E160" s="191"/>
      <c r="F160" s="191"/>
      <c r="G160" s="192"/>
      <c r="H160" s="248"/>
      <c r="I160" s="176"/>
      <c r="J160" s="176"/>
      <c r="K160" s="176"/>
      <c r="L160" s="176"/>
      <c r="M160" s="176"/>
      <c r="N160" s="176"/>
      <c r="O160" s="176"/>
      <c r="P160" s="176"/>
      <c r="Q160" s="176"/>
    </row>
    <row r="161" spans="4:26" ht="15.6" hidden="1" outlineLevel="1">
      <c r="D161" s="63" t="s">
        <v>358</v>
      </c>
      <c r="E161" s="191"/>
      <c r="F161" s="191"/>
      <c r="G161" s="192"/>
      <c r="H161" s="248"/>
      <c r="I161" s="176"/>
      <c r="J161" s="176"/>
      <c r="K161" s="176"/>
      <c r="L161" s="176"/>
      <c r="M161" s="176"/>
      <c r="N161" s="176"/>
      <c r="O161" s="176"/>
      <c r="P161" s="176"/>
      <c r="Q161" s="176"/>
    </row>
    <row r="162" spans="4:26" ht="15.6" hidden="1" outlineLevel="1">
      <c r="D162" s="63" t="s">
        <v>359</v>
      </c>
      <c r="E162" s="191">
        <v>235</v>
      </c>
      <c r="F162" s="191">
        <v>54</v>
      </c>
      <c r="G162" s="192" t="s">
        <v>418</v>
      </c>
      <c r="H162" s="248">
        <v>144.5</v>
      </c>
      <c r="I162" s="176"/>
      <c r="J162" s="176"/>
      <c r="K162" s="176"/>
      <c r="L162" s="176"/>
      <c r="M162" s="176"/>
      <c r="N162" s="176"/>
      <c r="O162" s="176"/>
      <c r="P162" s="176"/>
      <c r="Q162" s="176"/>
    </row>
    <row r="163" spans="4:26" ht="15.6" hidden="1" outlineLevel="1">
      <c r="D163" s="1"/>
      <c r="E163" s="1"/>
      <c r="F163" s="1"/>
      <c r="G163" s="1"/>
      <c r="H163" s="249"/>
      <c r="I163" s="176"/>
      <c r="J163" s="176"/>
      <c r="K163" s="176"/>
      <c r="L163" s="176"/>
      <c r="M163" s="176"/>
      <c r="N163" s="176"/>
      <c r="O163" s="176"/>
      <c r="P163" s="176"/>
      <c r="Q163" s="176"/>
    </row>
    <row r="164" spans="4:26" ht="15.6" hidden="1" outlineLevel="1">
      <c r="D164" s="149" t="s">
        <v>524</v>
      </c>
      <c r="E164" s="2"/>
      <c r="F164" s="2"/>
      <c r="G164" s="2"/>
      <c r="H164" s="249"/>
      <c r="I164" s="176"/>
      <c r="J164" s="176"/>
      <c r="K164" s="176"/>
      <c r="L164" s="176"/>
      <c r="M164" s="176"/>
      <c r="N164" s="176"/>
      <c r="O164" s="176"/>
      <c r="P164" s="176"/>
      <c r="Q164" s="176"/>
    </row>
    <row r="165" spans="4:26" ht="15.6" hidden="1" outlineLevel="1">
      <c r="D165" s="63" t="s">
        <v>525</v>
      </c>
      <c r="E165" s="69" t="s">
        <v>418</v>
      </c>
      <c r="F165" s="69">
        <v>24</v>
      </c>
      <c r="G165" s="159" t="s">
        <v>418</v>
      </c>
      <c r="H165" s="248">
        <v>24</v>
      </c>
      <c r="I165" s="176"/>
      <c r="J165" s="176"/>
      <c r="K165" s="176"/>
      <c r="L165" s="176"/>
      <c r="M165" s="176"/>
      <c r="N165" s="176"/>
      <c r="O165" s="176"/>
      <c r="P165" s="176"/>
      <c r="Q165" s="176"/>
    </row>
    <row r="166" spans="4:26" ht="15.95" hidden="1" outlineLevel="1" thickBot="1">
      <c r="D166" s="63" t="s">
        <v>526</v>
      </c>
      <c r="E166" s="191" t="s">
        <v>418</v>
      </c>
      <c r="F166" s="191">
        <v>13</v>
      </c>
      <c r="G166" s="192" t="s">
        <v>418</v>
      </c>
      <c r="H166" s="250">
        <v>13</v>
      </c>
      <c r="I166" s="176"/>
      <c r="J166" s="176"/>
      <c r="K166" s="176"/>
      <c r="L166" s="176"/>
      <c r="M166" s="176"/>
      <c r="N166" s="176"/>
      <c r="O166" s="176"/>
      <c r="P166" s="176"/>
      <c r="Q166" s="176"/>
    </row>
    <row r="167" spans="4:26" ht="15.6" collapsed="1">
      <c r="D167" s="176"/>
      <c r="E167" s="176"/>
      <c r="F167" s="176"/>
      <c r="G167" s="176"/>
      <c r="H167" s="176"/>
      <c r="I167" s="176"/>
      <c r="J167" s="176"/>
      <c r="K167" s="176"/>
      <c r="L167" s="176"/>
      <c r="M167" s="176"/>
      <c r="N167" s="176"/>
      <c r="O167" s="176"/>
      <c r="P167" s="176"/>
      <c r="Q167" s="176"/>
    </row>
    <row r="168" spans="4:26" s="106" customFormat="1" ht="26.1">
      <c r="D168" s="174" t="s">
        <v>419</v>
      </c>
      <c r="E168" s="194"/>
      <c r="F168" s="194"/>
      <c r="G168" s="194"/>
      <c r="H168" s="194"/>
      <c r="I168" s="194"/>
      <c r="J168" s="194"/>
      <c r="K168" s="194"/>
      <c r="L168" s="194"/>
      <c r="M168" s="194"/>
      <c r="N168" s="194"/>
      <c r="O168" s="194"/>
      <c r="P168" s="194"/>
      <c r="Q168" s="194"/>
      <c r="R168" s="21"/>
      <c r="S168" s="21"/>
      <c r="T168" s="21"/>
      <c r="U168" s="21"/>
      <c r="V168" s="21"/>
      <c r="W168" s="21"/>
      <c r="X168" s="21"/>
      <c r="Y168" s="21"/>
      <c r="Z168" s="21"/>
    </row>
    <row r="169" spans="4:26" ht="15.6" hidden="1" outlineLevel="1">
      <c r="D169" s="176"/>
      <c r="E169" s="176"/>
      <c r="F169" s="176"/>
      <c r="G169" s="176"/>
      <c r="H169" s="176"/>
      <c r="I169" s="176"/>
      <c r="J169" s="176"/>
      <c r="K169" s="176"/>
      <c r="L169" s="176"/>
      <c r="M169" s="176"/>
      <c r="N169" s="176"/>
      <c r="O169" s="176"/>
      <c r="P169" s="176"/>
      <c r="Q169" s="176"/>
    </row>
    <row r="170" spans="4:26" ht="30.95" hidden="1" outlineLevel="1">
      <c r="D170" s="176"/>
      <c r="E170" s="155">
        <v>2022</v>
      </c>
      <c r="F170" s="155">
        <v>2023</v>
      </c>
      <c r="G170" s="156">
        <v>2024</v>
      </c>
      <c r="H170" s="68" t="s">
        <v>415</v>
      </c>
      <c r="I170" s="176"/>
      <c r="J170" s="176"/>
      <c r="K170" s="176"/>
      <c r="L170" s="176"/>
      <c r="M170" s="176"/>
      <c r="N170" s="176"/>
      <c r="O170" s="176"/>
      <c r="P170" s="176"/>
      <c r="Q170" s="176"/>
    </row>
    <row r="171" spans="4:26" ht="15.6" hidden="1" outlineLevel="1">
      <c r="D171" s="63" t="s">
        <v>420</v>
      </c>
      <c r="E171" s="183">
        <v>8</v>
      </c>
      <c r="F171" s="183">
        <v>14</v>
      </c>
      <c r="G171" s="182">
        <v>17</v>
      </c>
      <c r="H171" s="183">
        <v>13</v>
      </c>
      <c r="I171" s="176"/>
      <c r="J171" s="176"/>
      <c r="K171" s="176"/>
      <c r="L171" s="176"/>
      <c r="M171" s="176"/>
      <c r="N171" s="176"/>
      <c r="O171" s="176"/>
      <c r="P171" s="176"/>
      <c r="Q171" s="176"/>
    </row>
    <row r="172" spans="4:26" ht="15.6" hidden="1" outlineLevel="1">
      <c r="D172" s="63" t="s">
        <v>421</v>
      </c>
      <c r="E172" s="183">
        <v>8</v>
      </c>
      <c r="F172" s="183">
        <v>12</v>
      </c>
      <c r="G172" s="182">
        <v>9.5</v>
      </c>
      <c r="H172" s="183">
        <v>9.8333333333333339</v>
      </c>
      <c r="I172" s="176"/>
      <c r="J172" s="176"/>
      <c r="K172" s="176"/>
      <c r="L172" s="176"/>
      <c r="M172" s="176"/>
      <c r="N172" s="176"/>
      <c r="O172" s="176"/>
      <c r="P172" s="176"/>
      <c r="Q172" s="176"/>
    </row>
    <row r="173" spans="4:26" ht="15.6" hidden="1" outlineLevel="1">
      <c r="D173" s="63" t="s">
        <v>422</v>
      </c>
      <c r="E173" s="183">
        <v>8</v>
      </c>
      <c r="F173" s="183">
        <v>11</v>
      </c>
      <c r="G173" s="182">
        <v>3</v>
      </c>
      <c r="H173" s="183">
        <v>7.333333333333333</v>
      </c>
      <c r="I173" s="176"/>
      <c r="J173" s="176"/>
      <c r="K173" s="176"/>
      <c r="L173" s="176"/>
      <c r="M173" s="176"/>
      <c r="N173" s="176"/>
      <c r="O173" s="176"/>
      <c r="P173" s="176"/>
      <c r="Q173" s="176"/>
    </row>
    <row r="174" spans="4:26" ht="15.6" hidden="1" outlineLevel="1">
      <c r="D174" s="63" t="s">
        <v>423</v>
      </c>
      <c r="E174" s="183">
        <v>10</v>
      </c>
      <c r="F174" s="183">
        <v>24</v>
      </c>
      <c r="G174" s="182">
        <v>86</v>
      </c>
      <c r="H174" s="183">
        <v>40</v>
      </c>
      <c r="I174" s="176"/>
      <c r="J174" s="176"/>
      <c r="K174" s="176"/>
      <c r="L174" s="176"/>
      <c r="M174" s="176"/>
      <c r="N174" s="176"/>
      <c r="O174" s="176"/>
      <c r="P174" s="176"/>
      <c r="Q174" s="176"/>
    </row>
    <row r="175" spans="4:26" ht="15.6" hidden="1" outlineLevel="1">
      <c r="D175" s="63" t="s">
        <v>527</v>
      </c>
      <c r="E175" s="183">
        <v>24</v>
      </c>
      <c r="F175" s="183">
        <v>37</v>
      </c>
      <c r="G175" s="182">
        <v>33</v>
      </c>
      <c r="H175" s="183">
        <v>31.333333333333332</v>
      </c>
      <c r="I175" s="176"/>
      <c r="J175" s="176"/>
      <c r="K175" s="176"/>
      <c r="L175" s="176"/>
      <c r="M175" s="176"/>
      <c r="N175" s="176"/>
      <c r="O175" s="176"/>
      <c r="P175" s="176"/>
      <c r="Q175" s="176"/>
    </row>
    <row r="176" spans="4:26" ht="15.6" hidden="1" outlineLevel="1">
      <c r="D176" s="63" t="s">
        <v>528</v>
      </c>
      <c r="E176" s="183">
        <v>240</v>
      </c>
      <c r="F176" s="183">
        <v>674.66666666666663</v>
      </c>
      <c r="G176" s="182" t="s">
        <v>418</v>
      </c>
      <c r="H176" s="183">
        <v>457.33333333333331</v>
      </c>
      <c r="I176" s="176"/>
      <c r="J176" s="176"/>
      <c r="K176" s="176"/>
      <c r="L176" s="176"/>
      <c r="M176" s="176"/>
      <c r="N176" s="176"/>
      <c r="O176" s="176"/>
      <c r="P176" s="176"/>
      <c r="Q176" s="176"/>
    </row>
    <row r="177" spans="4:17" ht="15.6" hidden="1" outlineLevel="1">
      <c r="D177" s="63" t="s">
        <v>529</v>
      </c>
      <c r="E177" s="183" t="s">
        <v>418</v>
      </c>
      <c r="F177" s="183" t="s">
        <v>418</v>
      </c>
      <c r="G177" s="182">
        <v>2</v>
      </c>
      <c r="H177" s="183">
        <v>2</v>
      </c>
      <c r="I177" s="176"/>
      <c r="J177" s="176"/>
      <c r="K177" s="176"/>
      <c r="L177" s="176"/>
      <c r="M177" s="176"/>
      <c r="N177" s="176"/>
      <c r="O177" s="176"/>
      <c r="P177" s="176"/>
      <c r="Q177" s="176"/>
    </row>
    <row r="178" spans="4:17" ht="15.6" hidden="1" outlineLevel="1">
      <c r="D178" s="63" t="s">
        <v>530</v>
      </c>
      <c r="E178" s="183" t="s">
        <v>418</v>
      </c>
      <c r="F178" s="183" t="s">
        <v>418</v>
      </c>
      <c r="G178" s="182">
        <v>8.5</v>
      </c>
      <c r="H178" s="183">
        <v>8.5</v>
      </c>
      <c r="I178" s="176"/>
      <c r="J178" s="176"/>
      <c r="K178" s="176"/>
      <c r="L178" s="176"/>
      <c r="M178" s="176"/>
      <c r="N178" s="176"/>
      <c r="O178" s="176"/>
      <c r="P178" s="176"/>
      <c r="Q178" s="176"/>
    </row>
    <row r="179" spans="4:17" ht="15.6" hidden="1" outlineLevel="1">
      <c r="D179" s="63" t="s">
        <v>427</v>
      </c>
      <c r="E179" s="183" t="s">
        <v>418</v>
      </c>
      <c r="F179" s="183" t="s">
        <v>418</v>
      </c>
      <c r="G179" s="182">
        <v>20</v>
      </c>
      <c r="H179" s="183">
        <v>20</v>
      </c>
      <c r="I179" s="176"/>
      <c r="J179" s="176"/>
      <c r="K179" s="176"/>
      <c r="L179" s="176"/>
      <c r="M179" s="176"/>
      <c r="N179" s="176"/>
      <c r="O179" s="176"/>
      <c r="P179" s="176"/>
      <c r="Q179" s="176"/>
    </row>
    <row r="180" spans="4:17" ht="15.6" hidden="1" outlineLevel="1">
      <c r="D180" s="176"/>
      <c r="E180" s="176"/>
      <c r="F180" s="176"/>
      <c r="G180" s="176"/>
      <c r="H180" s="176"/>
      <c r="I180" s="176"/>
      <c r="J180" s="176"/>
      <c r="K180" s="176"/>
      <c r="L180" s="176"/>
      <c r="M180" s="176"/>
      <c r="N180" s="176"/>
      <c r="O180" s="176"/>
      <c r="P180" s="176"/>
      <c r="Q180" s="176"/>
    </row>
    <row r="181" spans="4:17" ht="15.6" hidden="1" outlineLevel="1">
      <c r="D181" s="176"/>
      <c r="E181" s="68">
        <v>2022</v>
      </c>
      <c r="F181" s="157">
        <v>2024</v>
      </c>
      <c r="G181" s="68" t="s">
        <v>415</v>
      </c>
      <c r="H181" s="176"/>
      <c r="I181" s="176"/>
      <c r="J181" s="176"/>
      <c r="K181" s="176"/>
      <c r="L181" s="176"/>
      <c r="M181" s="176"/>
      <c r="N181" s="176"/>
      <c r="O181" s="176"/>
      <c r="P181" s="176"/>
      <c r="Q181" s="176"/>
    </row>
    <row r="182" spans="4:17" ht="15.6" hidden="1" outlineLevel="1">
      <c r="D182" s="156" t="s">
        <v>531</v>
      </c>
      <c r="E182" s="183" t="s">
        <v>418</v>
      </c>
      <c r="F182" s="182">
        <v>6</v>
      </c>
      <c r="G182" s="183">
        <v>6</v>
      </c>
      <c r="H182" s="176"/>
      <c r="I182" s="176"/>
      <c r="J182" s="176"/>
      <c r="K182" s="176"/>
      <c r="L182" s="176"/>
      <c r="M182" s="176"/>
      <c r="N182" s="176"/>
      <c r="O182" s="176"/>
      <c r="P182" s="176"/>
      <c r="Q182" s="176"/>
    </row>
    <row r="183" spans="4:17" ht="15.6" hidden="1" outlineLevel="1">
      <c r="D183" s="195" t="s">
        <v>532</v>
      </c>
      <c r="E183" s="183" t="s">
        <v>418</v>
      </c>
      <c r="F183" s="182">
        <v>8</v>
      </c>
      <c r="G183" s="183">
        <v>8</v>
      </c>
      <c r="H183" s="176"/>
      <c r="I183" s="176"/>
      <c r="J183" s="176"/>
      <c r="K183" s="176"/>
      <c r="L183" s="176"/>
      <c r="M183" s="176"/>
      <c r="N183" s="176"/>
      <c r="O183" s="176"/>
      <c r="P183" s="176"/>
      <c r="Q183" s="176"/>
    </row>
    <row r="184" spans="4:17" ht="15.6" hidden="1" outlineLevel="1">
      <c r="D184" s="190" t="s">
        <v>533</v>
      </c>
      <c r="E184" s="183" t="s">
        <v>418</v>
      </c>
      <c r="F184" s="182">
        <v>10</v>
      </c>
      <c r="G184" s="183">
        <v>10</v>
      </c>
      <c r="H184" s="176"/>
      <c r="I184" s="176"/>
      <c r="J184" s="176"/>
      <c r="K184" s="176"/>
      <c r="L184" s="176"/>
      <c r="M184" s="176"/>
      <c r="N184" s="176"/>
      <c r="O184" s="176"/>
      <c r="P184" s="176"/>
      <c r="Q184" s="176"/>
    </row>
    <row r="185" spans="4:17" ht="15.6" hidden="1" outlineLevel="1">
      <c r="D185" s="190" t="s">
        <v>534</v>
      </c>
      <c r="E185" s="183" t="s">
        <v>418</v>
      </c>
      <c r="F185" s="182">
        <v>14</v>
      </c>
      <c r="G185" s="183">
        <v>14</v>
      </c>
      <c r="H185" s="176"/>
      <c r="I185" s="176"/>
      <c r="J185" s="176"/>
      <c r="K185" s="176"/>
      <c r="L185" s="176"/>
      <c r="M185" s="176"/>
      <c r="N185" s="176"/>
      <c r="O185" s="176"/>
      <c r="P185" s="176"/>
      <c r="Q185" s="176"/>
    </row>
    <row r="186" spans="4:17" ht="15.6" hidden="1" outlineLevel="1">
      <c r="D186" s="63" t="s">
        <v>535</v>
      </c>
      <c r="E186" s="183" t="s">
        <v>418</v>
      </c>
      <c r="F186" s="182" t="s">
        <v>418</v>
      </c>
      <c r="G186" s="183">
        <v>0</v>
      </c>
      <c r="H186" s="176"/>
      <c r="I186" s="176"/>
      <c r="J186" s="176"/>
      <c r="K186" s="176"/>
      <c r="L186" s="176"/>
      <c r="M186" s="176"/>
      <c r="N186" s="176"/>
      <c r="O186" s="176"/>
      <c r="P186" s="176"/>
      <c r="Q186" s="176"/>
    </row>
    <row r="187" spans="4:17" ht="15.6" hidden="1" outlineLevel="1">
      <c r="D187" s="176"/>
      <c r="E187" s="196"/>
      <c r="F187" s="196"/>
      <c r="G187" s="183"/>
      <c r="H187" s="176"/>
      <c r="I187" s="176"/>
      <c r="J187" s="176"/>
      <c r="K187" s="176"/>
      <c r="L187" s="176"/>
      <c r="M187" s="176"/>
      <c r="N187" s="176"/>
      <c r="O187" s="176"/>
      <c r="P187" s="176"/>
      <c r="Q187" s="176"/>
    </row>
    <row r="188" spans="4:17" ht="15.6" hidden="1" outlineLevel="1">
      <c r="D188" s="155" t="s">
        <v>430</v>
      </c>
      <c r="E188" s="158"/>
      <c r="F188" s="158"/>
      <c r="G188" s="179"/>
      <c r="H188" s="176"/>
      <c r="I188" s="176"/>
      <c r="J188" s="176"/>
      <c r="K188" s="176"/>
      <c r="L188" s="176"/>
      <c r="M188" s="176"/>
      <c r="N188" s="176"/>
      <c r="O188" s="176"/>
      <c r="P188" s="176"/>
      <c r="Q188" s="176"/>
    </row>
    <row r="189" spans="4:17" ht="15.6" hidden="1" outlineLevel="1">
      <c r="D189" s="190" t="s">
        <v>536</v>
      </c>
      <c r="E189" s="183">
        <v>48</v>
      </c>
      <c r="F189" s="182">
        <v>49</v>
      </c>
      <c r="G189" s="183">
        <v>48.5</v>
      </c>
      <c r="H189" s="176"/>
      <c r="I189" s="176"/>
      <c r="J189" s="176"/>
      <c r="K189" s="176"/>
      <c r="L189" s="176"/>
      <c r="M189" s="176"/>
      <c r="N189" s="176"/>
      <c r="O189" s="176"/>
      <c r="P189" s="176"/>
      <c r="Q189" s="176"/>
    </row>
    <row r="190" spans="4:17" ht="15.6" hidden="1" outlineLevel="1">
      <c r="D190" s="190" t="s">
        <v>537</v>
      </c>
      <c r="E190" s="183">
        <v>60</v>
      </c>
      <c r="F190" s="182">
        <v>97</v>
      </c>
      <c r="G190" s="183">
        <v>78.5</v>
      </c>
      <c r="H190" s="176"/>
      <c r="I190" s="176"/>
      <c r="J190" s="176"/>
      <c r="K190" s="176"/>
      <c r="L190" s="176"/>
      <c r="M190" s="176"/>
      <c r="N190" s="176"/>
      <c r="O190" s="176"/>
      <c r="P190" s="176"/>
      <c r="Q190" s="176"/>
    </row>
    <row r="191" spans="4:17" ht="15.6" hidden="1" outlineLevel="1">
      <c r="D191" s="190" t="s">
        <v>533</v>
      </c>
      <c r="E191" s="183">
        <v>79</v>
      </c>
      <c r="F191" s="182">
        <v>180</v>
      </c>
      <c r="G191" s="183">
        <v>129.5</v>
      </c>
      <c r="H191" s="176"/>
      <c r="I191" s="176"/>
      <c r="J191" s="176"/>
      <c r="K191" s="176"/>
      <c r="L191" s="176"/>
      <c r="M191" s="176"/>
      <c r="N191" s="176"/>
      <c r="O191" s="176"/>
      <c r="P191" s="176"/>
      <c r="Q191" s="176"/>
    </row>
    <row r="192" spans="4:17" ht="15.6" hidden="1" outlineLevel="1">
      <c r="D192" s="176"/>
      <c r="E192" s="196"/>
      <c r="F192" s="196"/>
      <c r="G192" s="183"/>
      <c r="H192" s="176"/>
      <c r="I192" s="176"/>
      <c r="J192" s="176"/>
      <c r="K192" s="176"/>
      <c r="L192" s="176"/>
      <c r="M192" s="176"/>
      <c r="N192" s="176"/>
      <c r="O192" s="176"/>
      <c r="P192" s="176"/>
      <c r="Q192" s="176"/>
    </row>
    <row r="193" spans="4:26" ht="15.6" hidden="1" outlineLevel="1">
      <c r="D193" s="149" t="s">
        <v>538</v>
      </c>
      <c r="E193" s="158"/>
      <c r="F193" s="158"/>
      <c r="G193" s="179"/>
      <c r="H193" s="176"/>
      <c r="I193" s="176"/>
      <c r="J193" s="176"/>
      <c r="K193" s="176"/>
      <c r="L193" s="176"/>
      <c r="M193" s="176"/>
      <c r="N193" s="176"/>
      <c r="O193" s="176"/>
      <c r="P193" s="176"/>
      <c r="Q193" s="176"/>
    </row>
    <row r="194" spans="4:26" ht="15.6" hidden="1" outlineLevel="1">
      <c r="D194" s="63" t="s">
        <v>533</v>
      </c>
      <c r="E194" s="183">
        <v>141</v>
      </c>
      <c r="F194" s="182">
        <v>275</v>
      </c>
      <c r="G194" s="183">
        <v>208</v>
      </c>
      <c r="H194" s="176"/>
      <c r="I194" s="176"/>
      <c r="J194" s="176"/>
      <c r="K194" s="176"/>
      <c r="L194" s="176"/>
      <c r="M194" s="176"/>
      <c r="N194" s="176"/>
      <c r="O194" s="176"/>
      <c r="P194" s="176"/>
      <c r="Q194" s="176"/>
    </row>
    <row r="195" spans="4:26" ht="15.6" hidden="1" outlineLevel="1">
      <c r="D195" s="63" t="s">
        <v>534</v>
      </c>
      <c r="E195" s="183">
        <v>321</v>
      </c>
      <c r="F195" s="182">
        <v>451</v>
      </c>
      <c r="G195" s="183">
        <v>386</v>
      </c>
      <c r="H195" s="176"/>
      <c r="I195" s="176"/>
      <c r="J195" s="176"/>
      <c r="K195" s="176"/>
      <c r="L195" s="176"/>
      <c r="M195" s="176"/>
      <c r="N195" s="176"/>
      <c r="O195" s="176"/>
      <c r="P195" s="176"/>
      <c r="Q195" s="176"/>
    </row>
    <row r="196" spans="4:26" ht="15.6" hidden="1" outlineLevel="1">
      <c r="D196" s="63" t="s">
        <v>535</v>
      </c>
      <c r="E196" s="183">
        <v>321</v>
      </c>
      <c r="F196" s="182">
        <v>673</v>
      </c>
      <c r="G196" s="183">
        <v>497</v>
      </c>
      <c r="H196" s="176"/>
      <c r="I196" s="176"/>
      <c r="J196" s="176"/>
      <c r="K196" s="176"/>
      <c r="L196" s="176"/>
      <c r="M196" s="176"/>
      <c r="N196" s="176"/>
      <c r="O196" s="176"/>
      <c r="P196" s="176"/>
      <c r="Q196" s="176"/>
    </row>
    <row r="197" spans="4:26" ht="15.6" hidden="1" outlineLevel="1">
      <c r="D197" s="176"/>
      <c r="E197" s="196"/>
      <c r="F197" s="196"/>
      <c r="G197" s="183"/>
      <c r="H197" s="176"/>
      <c r="I197" s="176"/>
      <c r="J197" s="176"/>
      <c r="K197" s="176"/>
      <c r="L197" s="176"/>
      <c r="M197" s="176"/>
      <c r="N197" s="176"/>
      <c r="O197" s="176"/>
      <c r="P197" s="176"/>
      <c r="Q197" s="176"/>
    </row>
    <row r="198" spans="4:26" ht="15.6" hidden="1" outlineLevel="1">
      <c r="D198" s="155" t="s">
        <v>425</v>
      </c>
      <c r="E198" s="196"/>
      <c r="F198" s="196"/>
      <c r="G198" s="183"/>
      <c r="H198" s="176"/>
      <c r="I198" s="176"/>
      <c r="J198" s="176"/>
      <c r="K198" s="176"/>
      <c r="L198" s="176"/>
      <c r="M198" s="176"/>
      <c r="N198" s="176"/>
      <c r="O198" s="176"/>
      <c r="P198" s="176"/>
      <c r="Q198" s="176"/>
    </row>
    <row r="199" spans="4:26" ht="15.6" hidden="1" outlineLevel="1">
      <c r="D199" s="63" t="s">
        <v>426</v>
      </c>
      <c r="E199" s="183"/>
      <c r="F199" s="182"/>
      <c r="G199" s="183">
        <v>11.48</v>
      </c>
      <c r="H199" s="176"/>
      <c r="I199" s="176"/>
      <c r="J199" s="176"/>
      <c r="K199" s="176"/>
      <c r="L199" s="176"/>
      <c r="M199" s="176"/>
      <c r="N199" s="176"/>
      <c r="O199" s="176"/>
      <c r="P199" s="176"/>
      <c r="Q199" s="176"/>
    </row>
    <row r="200" spans="4:26" ht="15.6" hidden="1" outlineLevel="1">
      <c r="D200" s="63" t="s">
        <v>539</v>
      </c>
      <c r="E200" s="183"/>
      <c r="F200" s="182"/>
      <c r="G200" s="183">
        <v>1</v>
      </c>
      <c r="H200" s="176"/>
      <c r="I200" s="176"/>
      <c r="J200" s="176"/>
      <c r="K200" s="176"/>
      <c r="L200" s="176"/>
      <c r="M200" s="176"/>
      <c r="N200" s="176"/>
      <c r="O200" s="176"/>
      <c r="P200" s="176"/>
      <c r="Q200" s="176"/>
    </row>
    <row r="201" spans="4:26" ht="15.6" hidden="1" outlineLevel="1">
      <c r="D201" s="63" t="s">
        <v>540</v>
      </c>
      <c r="E201" s="183"/>
      <c r="F201" s="182"/>
      <c r="G201" s="183">
        <v>9.35</v>
      </c>
      <c r="H201" s="176"/>
      <c r="I201" s="176"/>
      <c r="J201" s="176"/>
      <c r="K201" s="176"/>
      <c r="L201" s="176"/>
      <c r="M201" s="176"/>
      <c r="N201" s="176"/>
      <c r="O201" s="176"/>
      <c r="P201" s="176"/>
      <c r="Q201" s="176"/>
    </row>
    <row r="202" spans="4:26" ht="15.6" hidden="1" outlineLevel="1">
      <c r="D202" s="63" t="s">
        <v>541</v>
      </c>
      <c r="E202" s="183"/>
      <c r="F202" s="182"/>
      <c r="G202" s="183">
        <v>11.47</v>
      </c>
      <c r="H202" s="176"/>
      <c r="I202" s="176"/>
      <c r="J202" s="176"/>
      <c r="K202" s="176"/>
      <c r="L202" s="176"/>
      <c r="M202" s="176"/>
      <c r="N202" s="176"/>
      <c r="O202" s="176"/>
      <c r="P202" s="176"/>
      <c r="Q202" s="176"/>
    </row>
    <row r="203" spans="4:26" ht="15.6" hidden="1" outlineLevel="1">
      <c r="D203" s="63" t="s">
        <v>542</v>
      </c>
      <c r="E203" s="183"/>
      <c r="F203" s="182"/>
      <c r="G203" s="183">
        <v>3</v>
      </c>
      <c r="H203" s="176"/>
      <c r="I203" s="176"/>
      <c r="J203" s="176"/>
      <c r="K203" s="176"/>
      <c r="L203" s="176"/>
      <c r="M203" s="176"/>
      <c r="N203" s="176"/>
      <c r="O203" s="176"/>
      <c r="P203" s="176"/>
      <c r="Q203" s="176"/>
    </row>
    <row r="204" spans="4:26" collapsed="1"/>
    <row r="205" spans="4:26" s="106" customFormat="1" ht="26.1">
      <c r="D205" s="174" t="s">
        <v>274</v>
      </c>
      <c r="E205" s="194"/>
      <c r="F205" s="194"/>
      <c r="G205" s="194"/>
      <c r="H205" s="194"/>
      <c r="I205" s="194"/>
      <c r="J205" s="194"/>
      <c r="K205" s="194"/>
      <c r="L205" s="194"/>
      <c r="M205" s="194"/>
      <c r="N205" s="194"/>
      <c r="O205" s="194"/>
      <c r="P205" s="194"/>
      <c r="Q205" s="194"/>
      <c r="R205" s="21"/>
      <c r="S205" s="21"/>
      <c r="T205" s="21"/>
      <c r="U205" s="21"/>
      <c r="V205" s="21"/>
      <c r="W205" s="21"/>
      <c r="X205" s="21"/>
      <c r="Y205" s="21"/>
      <c r="Z205" s="21"/>
    </row>
    <row r="206" spans="4:26" hidden="1" outlineLevel="1"/>
    <row r="207" spans="4:26" ht="15.6" hidden="1" outlineLevel="1">
      <c r="D207" s="155" t="s">
        <v>432</v>
      </c>
    </row>
    <row r="208" spans="4:26" collapsed="1"/>
    <row r="209" spans="4:26" s="106" customFormat="1" ht="26.1">
      <c r="D209" s="201" t="s">
        <v>286</v>
      </c>
      <c r="E209" s="200"/>
      <c r="F209" s="200"/>
      <c r="G209" s="200"/>
      <c r="H209" s="200"/>
      <c r="I209" s="200"/>
      <c r="J209" s="200"/>
      <c r="K209" s="200"/>
      <c r="L209" s="200"/>
      <c r="M209" s="200"/>
      <c r="N209" s="200"/>
      <c r="O209" s="200"/>
      <c r="P209" s="200"/>
      <c r="Q209" s="200"/>
      <c r="R209" s="200"/>
      <c r="S209" s="200"/>
      <c r="T209" s="200"/>
      <c r="U209" s="200"/>
      <c r="V209" s="200"/>
      <c r="W209" s="200"/>
      <c r="X209" s="200"/>
      <c r="Y209" s="200"/>
      <c r="Z209" s="200"/>
    </row>
    <row r="210" spans="4:26" hidden="1" outlineLevel="1"/>
    <row r="211" spans="4:26" ht="15.6" hidden="1" outlineLevel="1">
      <c r="D211" s="155" t="s">
        <v>432</v>
      </c>
    </row>
    <row r="212" spans="4:26" collapsed="1"/>
    <row r="213" spans="4:26" s="106" customFormat="1" ht="26.1">
      <c r="D213" s="174" t="s">
        <v>543</v>
      </c>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4:26" hidden="1" outlineLevel="1"/>
    <row r="215" spans="4:26" ht="15.6" hidden="1" outlineLevel="1">
      <c r="D215" s="149" t="s">
        <v>544</v>
      </c>
      <c r="E215" s="150">
        <v>2022</v>
      </c>
      <c r="F215" s="151">
        <v>2024</v>
      </c>
      <c r="G215" s="180" t="s">
        <v>415</v>
      </c>
    </row>
    <row r="216" spans="4:26" ht="15.6" hidden="1" outlineLevel="1">
      <c r="D216" s="64" t="s">
        <v>532</v>
      </c>
      <c r="E216" s="152" t="s">
        <v>418</v>
      </c>
      <c r="F216" s="153">
        <v>221</v>
      </c>
      <c r="G216" s="152">
        <v>221</v>
      </c>
    </row>
    <row r="217" spans="4:26" ht="15.6" hidden="1" outlineLevel="1">
      <c r="D217" s="64" t="s">
        <v>533</v>
      </c>
      <c r="E217" s="152" t="s">
        <v>418</v>
      </c>
      <c r="F217" s="153">
        <v>563</v>
      </c>
      <c r="G217" s="152">
        <v>563</v>
      </c>
    </row>
    <row r="218" spans="4:26" ht="15.6" hidden="1" outlineLevel="1">
      <c r="D218" s="64" t="s">
        <v>534</v>
      </c>
      <c r="E218" s="152">
        <v>650</v>
      </c>
      <c r="F218" s="153">
        <v>1176</v>
      </c>
      <c r="G218" s="152">
        <v>913</v>
      </c>
    </row>
    <row r="219" spans="4:26" ht="15.6" hidden="1" outlineLevel="1">
      <c r="D219" s="64" t="s">
        <v>535</v>
      </c>
      <c r="E219" s="152" t="s">
        <v>418</v>
      </c>
      <c r="F219" s="153">
        <v>1686</v>
      </c>
      <c r="G219" s="152">
        <v>1686</v>
      </c>
    </row>
    <row r="220" spans="4:26" ht="15.6" hidden="1" outlineLevel="1">
      <c r="D220" s="1"/>
      <c r="E220" s="154"/>
      <c r="F220" s="154"/>
      <c r="G220" s="176"/>
    </row>
    <row r="221" spans="4:26" ht="15.6" hidden="1" outlineLevel="1">
      <c r="D221" s="155" t="s">
        <v>545</v>
      </c>
      <c r="E221" s="197"/>
      <c r="F221" s="197"/>
      <c r="G221" s="176"/>
    </row>
    <row r="222" spans="4:26" ht="15.6" hidden="1" outlineLevel="1">
      <c r="D222" s="64" t="s">
        <v>532</v>
      </c>
      <c r="E222" s="152">
        <v>39.047777777777782</v>
      </c>
      <c r="F222" s="153">
        <v>152</v>
      </c>
      <c r="G222" s="152">
        <v>95.523888888888891</v>
      </c>
    </row>
    <row r="223" spans="4:26" ht="15.6" hidden="1" outlineLevel="1">
      <c r="D223" s="64" t="s">
        <v>533</v>
      </c>
      <c r="E223" s="152">
        <v>98.848333333333329</v>
      </c>
      <c r="F223" s="153">
        <v>300</v>
      </c>
      <c r="G223" s="152">
        <v>199.42416666666668</v>
      </c>
    </row>
    <row r="224" spans="4:26" ht="15.6" hidden="1" outlineLevel="1">
      <c r="D224" s="64" t="s">
        <v>534</v>
      </c>
      <c r="E224" s="152">
        <v>169.13333333333333</v>
      </c>
      <c r="F224" s="153">
        <v>467</v>
      </c>
      <c r="G224" s="152">
        <v>318.06666666666666</v>
      </c>
    </row>
    <row r="225" spans="4:7" ht="15.6" hidden="1" outlineLevel="1">
      <c r="D225" s="64" t="s">
        <v>535</v>
      </c>
      <c r="E225" s="152">
        <v>266.55999999999995</v>
      </c>
      <c r="F225" s="153">
        <v>625</v>
      </c>
      <c r="G225" s="152">
        <v>445.78</v>
      </c>
    </row>
    <row r="226" spans="4:7" ht="15.6" collapsed="1">
      <c r="D226" s="176"/>
      <c r="E226" s="176"/>
      <c r="F226" s="176"/>
      <c r="G226" s="176"/>
    </row>
  </sheetData>
  <mergeCells count="2">
    <mergeCell ref="E23:G23"/>
    <mergeCell ref="E31:G3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6500A-23ED-42C0-9FC8-1E3AB1191763}">
  <sheetPr codeName="Sheet5">
    <tabColor theme="8" tint="0.39997558519241921"/>
  </sheetPr>
  <dimension ref="A1:M276"/>
  <sheetViews>
    <sheetView showGridLines="0" zoomScale="80" zoomScaleNormal="80" workbookViewId="0"/>
  </sheetViews>
  <sheetFormatPr defaultColWidth="0" defaultRowHeight="14.45"/>
  <cols>
    <col min="1" max="1" width="8.85546875" style="360" customWidth="1"/>
    <col min="2" max="2" width="30.85546875" style="360" bestFit="1" customWidth="1"/>
    <col min="3" max="3" width="22.85546875" style="360" bestFit="1" customWidth="1"/>
    <col min="4" max="4" width="30.5703125" style="360" bestFit="1" customWidth="1"/>
    <col min="5" max="5" width="23.140625" style="360" bestFit="1" customWidth="1"/>
    <col min="6" max="12" width="8.85546875" style="360" customWidth="1"/>
    <col min="13" max="13" width="0" style="360" hidden="1" customWidth="1"/>
    <col min="14" max="16384" width="8.85546875" style="360" hidden="1"/>
  </cols>
  <sheetData>
    <row r="1" spans="1:12" ht="26.45" thickBot="1">
      <c r="A1" s="358" t="s">
        <v>546</v>
      </c>
      <c r="B1" s="359"/>
      <c r="C1" s="359"/>
      <c r="D1" s="359"/>
      <c r="E1" s="359"/>
      <c r="F1" s="359"/>
      <c r="G1" s="359"/>
      <c r="H1" s="359"/>
      <c r="I1" s="359"/>
      <c r="J1" s="359"/>
      <c r="K1" s="359"/>
      <c r="L1" s="359"/>
    </row>
    <row r="3" spans="1:12" ht="18.600000000000001">
      <c r="B3" s="361" t="s">
        <v>547</v>
      </c>
    </row>
    <row r="5" spans="1:12">
      <c r="B5" s="478" t="s">
        <v>547</v>
      </c>
      <c r="C5" s="479"/>
      <c r="D5" s="479"/>
      <c r="E5" s="480"/>
    </row>
    <row r="6" spans="1:12">
      <c r="B6" s="362" t="s">
        <v>548</v>
      </c>
      <c r="C6" s="362" t="s">
        <v>549</v>
      </c>
      <c r="D6" s="362" t="s">
        <v>550</v>
      </c>
      <c r="E6" s="362" t="s">
        <v>27</v>
      </c>
    </row>
    <row r="7" spans="1:12">
      <c r="B7" s="362" t="s">
        <v>551</v>
      </c>
      <c r="C7" s="362" t="s">
        <v>552</v>
      </c>
      <c r="D7" s="362" t="s">
        <v>553</v>
      </c>
      <c r="E7" s="362" t="s">
        <v>31</v>
      </c>
    </row>
    <row r="8" spans="1:12">
      <c r="B8" s="362" t="s">
        <v>30</v>
      </c>
      <c r="C8" s="362" t="s">
        <v>554</v>
      </c>
      <c r="D8" s="362" t="s">
        <v>49</v>
      </c>
    </row>
    <row r="9" spans="1:12">
      <c r="B9" s="362" t="s">
        <v>353</v>
      </c>
      <c r="C9" s="362"/>
      <c r="D9" s="362" t="s">
        <v>555</v>
      </c>
    </row>
    <row r="11" spans="1:12">
      <c r="D11" s="360" t="s">
        <v>556</v>
      </c>
    </row>
    <row r="12" spans="1:12">
      <c r="B12" s="387" t="s">
        <v>557</v>
      </c>
      <c r="C12" s="387" t="s">
        <v>558</v>
      </c>
      <c r="D12" s="390" t="s">
        <v>559</v>
      </c>
    </row>
    <row r="13" spans="1:12">
      <c r="B13" s="388" t="s">
        <v>560</v>
      </c>
      <c r="C13" s="388" t="s">
        <v>561</v>
      </c>
      <c r="D13" s="391" t="s">
        <v>354</v>
      </c>
    </row>
    <row r="14" spans="1:12">
      <c r="B14" s="388" t="s">
        <v>562</v>
      </c>
      <c r="C14" s="388" t="s">
        <v>563</v>
      </c>
      <c r="D14" s="391" t="s">
        <v>355</v>
      </c>
    </row>
    <row r="15" spans="1:12">
      <c r="B15" s="388" t="s">
        <v>564</v>
      </c>
      <c r="C15" s="388" t="s">
        <v>565</v>
      </c>
      <c r="D15" s="391" t="s">
        <v>356</v>
      </c>
    </row>
    <row r="16" spans="1:12">
      <c r="B16" s="389" t="s">
        <v>566</v>
      </c>
      <c r="C16" s="389" t="s">
        <v>567</v>
      </c>
      <c r="D16" s="391" t="s">
        <v>357</v>
      </c>
    </row>
    <row r="17" spans="2:4">
      <c r="D17" s="391" t="s">
        <v>358</v>
      </c>
    </row>
    <row r="18" spans="2:4">
      <c r="D18" s="392" t="s">
        <v>359</v>
      </c>
    </row>
    <row r="20" spans="2:4">
      <c r="B20" s="386" t="s">
        <v>568</v>
      </c>
      <c r="C20" s="381" t="s">
        <v>569</v>
      </c>
    </row>
    <row r="21" spans="2:4">
      <c r="B21" s="382"/>
      <c r="C21" s="383" t="s">
        <v>570</v>
      </c>
    </row>
    <row r="22" spans="2:4">
      <c r="B22" s="384"/>
      <c r="C22" s="385" t="s">
        <v>571</v>
      </c>
    </row>
    <row r="24" spans="2:4">
      <c r="B24" s="363" t="s">
        <v>572</v>
      </c>
      <c r="C24" s="364" t="s">
        <v>573</v>
      </c>
    </row>
    <row r="25" spans="2:4">
      <c r="B25" s="365" t="s">
        <v>574</v>
      </c>
      <c r="C25" s="366"/>
    </row>
    <row r="26" spans="2:4" ht="15.6">
      <c r="B26" s="367" t="s">
        <v>575</v>
      </c>
      <c r="C26" s="368" t="s">
        <v>576</v>
      </c>
    </row>
    <row r="27" spans="2:4" ht="15.6">
      <c r="B27" s="367" t="s">
        <v>577</v>
      </c>
      <c r="C27" s="368" t="s">
        <v>578</v>
      </c>
    </row>
    <row r="28" spans="2:4" ht="15.6">
      <c r="B28" s="367" t="s">
        <v>579</v>
      </c>
      <c r="C28" s="368" t="s">
        <v>580</v>
      </c>
    </row>
    <row r="29" spans="2:4" ht="15.6">
      <c r="B29" s="367" t="s">
        <v>581</v>
      </c>
      <c r="C29" s="368" t="s">
        <v>582</v>
      </c>
    </row>
    <row r="30" spans="2:4" ht="15.6">
      <c r="B30" s="367" t="s">
        <v>583</v>
      </c>
      <c r="C30" s="368" t="s">
        <v>584</v>
      </c>
    </row>
    <row r="31" spans="2:4" ht="15.6">
      <c r="B31" s="367" t="s">
        <v>585</v>
      </c>
      <c r="C31" s="368" t="s">
        <v>586</v>
      </c>
    </row>
    <row r="32" spans="2:4" ht="15.6">
      <c r="B32" s="367" t="s">
        <v>587</v>
      </c>
      <c r="C32" s="368" t="s">
        <v>588</v>
      </c>
    </row>
    <row r="33" spans="2:3" ht="15.6">
      <c r="B33" s="367" t="s">
        <v>589</v>
      </c>
      <c r="C33" s="368" t="s">
        <v>590</v>
      </c>
    </row>
    <row r="34" spans="2:3" ht="15.6">
      <c r="B34" s="367" t="s">
        <v>591</v>
      </c>
      <c r="C34" s="368" t="s">
        <v>592</v>
      </c>
    </row>
    <row r="35" spans="2:3" ht="15.6">
      <c r="B35" s="367" t="s">
        <v>593</v>
      </c>
      <c r="C35" s="368" t="s">
        <v>594</v>
      </c>
    </row>
    <row r="36" spans="2:3" ht="15.6">
      <c r="B36" s="367" t="s">
        <v>595</v>
      </c>
      <c r="C36" s="368" t="s">
        <v>596</v>
      </c>
    </row>
    <row r="37" spans="2:3" ht="15.6">
      <c r="B37" s="367" t="s">
        <v>597</v>
      </c>
      <c r="C37" s="368" t="s">
        <v>598</v>
      </c>
    </row>
    <row r="38" spans="2:3" ht="15.6">
      <c r="B38" s="367" t="s">
        <v>599</v>
      </c>
      <c r="C38" s="368" t="s">
        <v>600</v>
      </c>
    </row>
    <row r="39" spans="2:3" ht="15.6">
      <c r="B39" s="367" t="s">
        <v>601</v>
      </c>
      <c r="C39" s="368" t="s">
        <v>602</v>
      </c>
    </row>
    <row r="40" spans="2:3" ht="15.6">
      <c r="B40" s="367" t="s">
        <v>603</v>
      </c>
      <c r="C40" s="368" t="s">
        <v>604</v>
      </c>
    </row>
    <row r="41" spans="2:3" ht="15.6">
      <c r="B41" s="367" t="s">
        <v>605</v>
      </c>
      <c r="C41" s="368" t="s">
        <v>606</v>
      </c>
    </row>
    <row r="42" spans="2:3" ht="15.6">
      <c r="B42" s="367" t="s">
        <v>607</v>
      </c>
      <c r="C42" s="368" t="s">
        <v>608</v>
      </c>
    </row>
    <row r="43" spans="2:3" ht="15.6">
      <c r="B43" s="367" t="s">
        <v>609</v>
      </c>
      <c r="C43" s="368" t="s">
        <v>610</v>
      </c>
    </row>
    <row r="44" spans="2:3" ht="15.6">
      <c r="B44" s="367" t="s">
        <v>611</v>
      </c>
      <c r="C44" s="368" t="s">
        <v>612</v>
      </c>
    </row>
    <row r="45" spans="2:3" ht="15.6">
      <c r="B45" s="367" t="s">
        <v>613</v>
      </c>
      <c r="C45" s="368" t="s">
        <v>614</v>
      </c>
    </row>
    <row r="46" spans="2:3" ht="15.6">
      <c r="B46" s="367" t="s">
        <v>615</v>
      </c>
      <c r="C46" s="368" t="s">
        <v>616</v>
      </c>
    </row>
    <row r="47" spans="2:3" ht="15.6">
      <c r="B47" s="367" t="s">
        <v>617</v>
      </c>
      <c r="C47" s="368" t="s">
        <v>618</v>
      </c>
    </row>
    <row r="48" spans="2:3" ht="15.6">
      <c r="B48" s="367" t="s">
        <v>619</v>
      </c>
      <c r="C48" s="368" t="s">
        <v>620</v>
      </c>
    </row>
    <row r="49" spans="2:3" ht="14.45" customHeight="1">
      <c r="B49" s="367" t="s">
        <v>621</v>
      </c>
      <c r="C49" s="368" t="s">
        <v>622</v>
      </c>
    </row>
    <row r="50" spans="2:3" ht="14.45" customHeight="1">
      <c r="B50" s="367" t="s">
        <v>623</v>
      </c>
      <c r="C50" s="368" t="s">
        <v>624</v>
      </c>
    </row>
    <row r="51" spans="2:3" ht="14.45" customHeight="1">
      <c r="B51" s="367" t="s">
        <v>625</v>
      </c>
      <c r="C51" s="368" t="s">
        <v>626</v>
      </c>
    </row>
    <row r="52" spans="2:3" ht="14.45" customHeight="1">
      <c r="B52" s="367" t="s">
        <v>627</v>
      </c>
      <c r="C52" s="368" t="s">
        <v>628</v>
      </c>
    </row>
    <row r="53" spans="2:3" ht="14.45" customHeight="1">
      <c r="B53" s="367" t="s">
        <v>629</v>
      </c>
      <c r="C53" s="368" t="s">
        <v>630</v>
      </c>
    </row>
    <row r="54" spans="2:3" ht="14.45" customHeight="1">
      <c r="B54" s="367" t="s">
        <v>631</v>
      </c>
      <c r="C54" s="368" t="s">
        <v>632</v>
      </c>
    </row>
    <row r="55" spans="2:3" ht="14.45" customHeight="1">
      <c r="B55" s="367" t="s">
        <v>633</v>
      </c>
      <c r="C55" s="368" t="s">
        <v>634</v>
      </c>
    </row>
    <row r="56" spans="2:3" ht="14.45" customHeight="1">
      <c r="B56" s="367" t="s">
        <v>635</v>
      </c>
      <c r="C56" s="368" t="s">
        <v>636</v>
      </c>
    </row>
    <row r="57" spans="2:3" ht="14.45" customHeight="1">
      <c r="B57" s="367" t="s">
        <v>637</v>
      </c>
      <c r="C57" s="368" t="s">
        <v>638</v>
      </c>
    </row>
    <row r="58" spans="2:3" ht="14.45" customHeight="1">
      <c r="B58" s="367" t="s">
        <v>639</v>
      </c>
      <c r="C58" s="368" t="s">
        <v>640</v>
      </c>
    </row>
    <row r="59" spans="2:3" ht="14.45" customHeight="1">
      <c r="B59" s="367" t="s">
        <v>641</v>
      </c>
      <c r="C59" s="368" t="s">
        <v>642</v>
      </c>
    </row>
    <row r="60" spans="2:3" ht="15.6">
      <c r="B60" s="367" t="s">
        <v>643</v>
      </c>
      <c r="C60" s="368" t="s">
        <v>644</v>
      </c>
    </row>
    <row r="61" spans="2:3" ht="15.6">
      <c r="B61" s="367" t="s">
        <v>645</v>
      </c>
      <c r="C61" s="368" t="s">
        <v>646</v>
      </c>
    </row>
    <row r="62" spans="2:3" ht="15.6">
      <c r="B62" s="367" t="s">
        <v>647</v>
      </c>
      <c r="C62" s="368" t="s">
        <v>648</v>
      </c>
    </row>
    <row r="63" spans="2:3" ht="15.6">
      <c r="B63" s="367" t="s">
        <v>649</v>
      </c>
      <c r="C63" s="368" t="s">
        <v>650</v>
      </c>
    </row>
    <row r="64" spans="2:3" ht="15.6">
      <c r="B64" s="367" t="s">
        <v>651</v>
      </c>
      <c r="C64" s="368" t="s">
        <v>652</v>
      </c>
    </row>
    <row r="65" spans="2:3" ht="15.6">
      <c r="B65" s="367" t="s">
        <v>653</v>
      </c>
      <c r="C65" s="368" t="s">
        <v>654</v>
      </c>
    </row>
    <row r="66" spans="2:3" ht="15.6">
      <c r="B66" s="367" t="s">
        <v>655</v>
      </c>
      <c r="C66" s="368" t="s">
        <v>656</v>
      </c>
    </row>
    <row r="67" spans="2:3" ht="15.6">
      <c r="B67" s="367" t="s">
        <v>657</v>
      </c>
      <c r="C67" s="368" t="s">
        <v>658</v>
      </c>
    </row>
    <row r="68" spans="2:3" ht="15.6">
      <c r="B68" s="367" t="s">
        <v>659</v>
      </c>
      <c r="C68" s="368" t="s">
        <v>660</v>
      </c>
    </row>
    <row r="69" spans="2:3" ht="15.6">
      <c r="B69" s="367" t="s">
        <v>661</v>
      </c>
      <c r="C69" s="368" t="s">
        <v>662</v>
      </c>
    </row>
    <row r="70" spans="2:3" ht="15.6">
      <c r="B70" s="367" t="s">
        <v>663</v>
      </c>
      <c r="C70" s="368" t="s">
        <v>664</v>
      </c>
    </row>
    <row r="71" spans="2:3" ht="15.6">
      <c r="B71" s="367" t="s">
        <v>665</v>
      </c>
      <c r="C71" s="368" t="s">
        <v>666</v>
      </c>
    </row>
    <row r="72" spans="2:3" ht="15.6">
      <c r="B72" s="367" t="s">
        <v>667</v>
      </c>
      <c r="C72" s="368" t="s">
        <v>668</v>
      </c>
    </row>
    <row r="73" spans="2:3" ht="30.95">
      <c r="B73" s="367" t="s">
        <v>669</v>
      </c>
      <c r="C73" s="368" t="s">
        <v>670</v>
      </c>
    </row>
    <row r="74" spans="2:3" ht="15.6">
      <c r="B74" s="367" t="s">
        <v>671</v>
      </c>
      <c r="C74" s="368" t="s">
        <v>672</v>
      </c>
    </row>
    <row r="75" spans="2:3" ht="15.6">
      <c r="B75" s="367" t="s">
        <v>673</v>
      </c>
      <c r="C75" s="368" t="s">
        <v>674</v>
      </c>
    </row>
    <row r="76" spans="2:3" ht="46.5">
      <c r="B76" s="367" t="s">
        <v>675</v>
      </c>
      <c r="C76" s="368" t="s">
        <v>676</v>
      </c>
    </row>
    <row r="77" spans="2:3" ht="15.6">
      <c r="B77" s="367" t="s">
        <v>677</v>
      </c>
      <c r="C77" s="368" t="s">
        <v>678</v>
      </c>
    </row>
    <row r="78" spans="2:3" ht="15.6">
      <c r="B78" s="367" t="s">
        <v>679</v>
      </c>
      <c r="C78" s="368" t="s">
        <v>680</v>
      </c>
    </row>
    <row r="79" spans="2:3" ht="15.6">
      <c r="B79" s="367" t="s">
        <v>681</v>
      </c>
      <c r="C79" s="368" t="s">
        <v>682</v>
      </c>
    </row>
    <row r="80" spans="2:3" ht="15.6">
      <c r="B80" s="367" t="s">
        <v>683</v>
      </c>
      <c r="C80" s="368" t="s">
        <v>684</v>
      </c>
    </row>
    <row r="81" spans="2:3" ht="15.6">
      <c r="B81" s="367" t="s">
        <v>685</v>
      </c>
      <c r="C81" s="368" t="s">
        <v>686</v>
      </c>
    </row>
    <row r="82" spans="2:3" ht="30.95">
      <c r="B82" s="367" t="s">
        <v>687</v>
      </c>
      <c r="C82" s="368" t="s">
        <v>688</v>
      </c>
    </row>
    <row r="83" spans="2:3" ht="15.6">
      <c r="B83" s="367" t="s">
        <v>689</v>
      </c>
      <c r="C83" s="368" t="s">
        <v>690</v>
      </c>
    </row>
    <row r="84" spans="2:3" ht="30.95">
      <c r="B84" s="367" t="s">
        <v>691</v>
      </c>
      <c r="C84" s="368" t="s">
        <v>692</v>
      </c>
    </row>
    <row r="85" spans="2:3" ht="15.6">
      <c r="B85" s="367" t="s">
        <v>693</v>
      </c>
      <c r="C85" s="368" t="s">
        <v>694</v>
      </c>
    </row>
    <row r="86" spans="2:3" ht="15.6">
      <c r="B86" s="367" t="s">
        <v>695</v>
      </c>
      <c r="C86" s="368" t="s">
        <v>696</v>
      </c>
    </row>
    <row r="87" spans="2:3" ht="15.6">
      <c r="B87" s="367" t="s">
        <v>697</v>
      </c>
      <c r="C87" s="368" t="s">
        <v>698</v>
      </c>
    </row>
    <row r="88" spans="2:3" ht="15.6">
      <c r="B88" s="367" t="s">
        <v>699</v>
      </c>
      <c r="C88" s="368" t="s">
        <v>700</v>
      </c>
    </row>
    <row r="89" spans="2:3" ht="15.6">
      <c r="B89" s="367" t="s">
        <v>701</v>
      </c>
      <c r="C89" s="368" t="s">
        <v>702</v>
      </c>
    </row>
    <row r="90" spans="2:3" ht="15.6">
      <c r="B90" s="367" t="s">
        <v>703</v>
      </c>
      <c r="C90" s="368" t="s">
        <v>704</v>
      </c>
    </row>
    <row r="91" spans="2:3" ht="15.6">
      <c r="B91" s="367" t="s">
        <v>705</v>
      </c>
      <c r="C91" s="368" t="s">
        <v>706</v>
      </c>
    </row>
    <row r="92" spans="2:3" ht="15.6">
      <c r="B92" s="367" t="s">
        <v>707</v>
      </c>
      <c r="C92" s="369"/>
    </row>
    <row r="93" spans="2:3" ht="15.6">
      <c r="B93" s="367" t="s">
        <v>708</v>
      </c>
      <c r="C93" s="369"/>
    </row>
    <row r="94" spans="2:3" ht="15.6">
      <c r="B94" s="367" t="s">
        <v>709</v>
      </c>
      <c r="C94" s="368" t="s">
        <v>710</v>
      </c>
    </row>
    <row r="95" spans="2:3" ht="15.6">
      <c r="B95" s="367" t="s">
        <v>711</v>
      </c>
      <c r="C95" s="368" t="s">
        <v>712</v>
      </c>
    </row>
    <row r="96" spans="2:3" ht="15.6">
      <c r="B96" s="367" t="s">
        <v>713</v>
      </c>
      <c r="C96" s="368" t="s">
        <v>714</v>
      </c>
    </row>
    <row r="97" spans="2:3" ht="15.6">
      <c r="B97" s="370" t="s">
        <v>715</v>
      </c>
      <c r="C97" s="371"/>
    </row>
    <row r="98" spans="2:3" ht="15.6">
      <c r="B98" s="370" t="s">
        <v>716</v>
      </c>
      <c r="C98" s="371"/>
    </row>
    <row r="99" spans="2:3" ht="15.6">
      <c r="B99" s="367" t="s">
        <v>717</v>
      </c>
      <c r="C99" s="368" t="s">
        <v>718</v>
      </c>
    </row>
    <row r="100" spans="2:3" ht="15.6">
      <c r="B100" s="367" t="s">
        <v>719</v>
      </c>
      <c r="C100" s="368" t="s">
        <v>720</v>
      </c>
    </row>
    <row r="101" spans="2:3" ht="15.6">
      <c r="B101" s="367" t="s">
        <v>721</v>
      </c>
      <c r="C101" s="368" t="s">
        <v>722</v>
      </c>
    </row>
    <row r="102" spans="2:3" ht="15.6">
      <c r="B102" s="367" t="s">
        <v>723</v>
      </c>
      <c r="C102" s="368" t="s">
        <v>724</v>
      </c>
    </row>
    <row r="103" spans="2:3" ht="15.6">
      <c r="B103" s="367" t="s">
        <v>725</v>
      </c>
      <c r="C103" s="368" t="s">
        <v>726</v>
      </c>
    </row>
    <row r="104" spans="2:3" ht="15.6">
      <c r="B104" s="367" t="s">
        <v>727</v>
      </c>
      <c r="C104" s="368" t="s">
        <v>728</v>
      </c>
    </row>
    <row r="105" spans="2:3" ht="15.6">
      <c r="B105" s="367" t="s">
        <v>729</v>
      </c>
      <c r="C105" s="368" t="s">
        <v>730</v>
      </c>
    </row>
    <row r="106" spans="2:3" ht="15.6">
      <c r="B106" s="367" t="s">
        <v>731</v>
      </c>
      <c r="C106" s="368" t="s">
        <v>594</v>
      </c>
    </row>
    <row r="107" spans="2:3" ht="15.6">
      <c r="B107" s="367" t="s">
        <v>732</v>
      </c>
      <c r="C107" s="369"/>
    </row>
    <row r="108" spans="2:3" ht="15.6">
      <c r="B108" s="367" t="s">
        <v>733</v>
      </c>
      <c r="C108" s="368" t="s">
        <v>734</v>
      </c>
    </row>
    <row r="109" spans="2:3" ht="15.6">
      <c r="B109" s="367" t="s">
        <v>735</v>
      </c>
      <c r="C109" s="368" t="s">
        <v>736</v>
      </c>
    </row>
    <row r="110" spans="2:3" ht="15.6">
      <c r="B110" s="367" t="s">
        <v>737</v>
      </c>
      <c r="C110" s="369"/>
    </row>
    <row r="111" spans="2:3" ht="15.6">
      <c r="B111" s="367" t="s">
        <v>738</v>
      </c>
      <c r="C111" s="368" t="s">
        <v>739</v>
      </c>
    </row>
    <row r="112" spans="2:3" ht="15.6">
      <c r="B112" s="367" t="s">
        <v>740</v>
      </c>
      <c r="C112" s="368" t="s">
        <v>741</v>
      </c>
    </row>
    <row r="113" spans="2:3" ht="15.6">
      <c r="B113" s="367" t="s">
        <v>742</v>
      </c>
      <c r="C113" s="368" t="s">
        <v>743</v>
      </c>
    </row>
    <row r="114" spans="2:3" ht="15.6">
      <c r="B114" s="367" t="s">
        <v>744</v>
      </c>
      <c r="C114" s="368" t="s">
        <v>745</v>
      </c>
    </row>
    <row r="115" spans="2:3" ht="15.6">
      <c r="B115" s="367" t="s">
        <v>746</v>
      </c>
      <c r="C115" s="368" t="s">
        <v>726</v>
      </c>
    </row>
    <row r="116" spans="2:3" ht="15.6">
      <c r="B116" s="367" t="s">
        <v>747</v>
      </c>
      <c r="C116" s="368" t="s">
        <v>748</v>
      </c>
    </row>
    <row r="117" spans="2:3" ht="15.6">
      <c r="B117" s="367" t="s">
        <v>749</v>
      </c>
      <c r="C117" s="368" t="s">
        <v>750</v>
      </c>
    </row>
    <row r="118" spans="2:3" ht="15.6">
      <c r="B118" s="367" t="s">
        <v>751</v>
      </c>
      <c r="C118" s="368" t="s">
        <v>752</v>
      </c>
    </row>
    <row r="119" spans="2:3" ht="15.6">
      <c r="B119" s="367" t="s">
        <v>753</v>
      </c>
      <c r="C119" s="368" t="s">
        <v>754</v>
      </c>
    </row>
    <row r="120" spans="2:3" ht="15.6">
      <c r="B120" s="367" t="s">
        <v>755</v>
      </c>
      <c r="C120" s="368" t="s">
        <v>756</v>
      </c>
    </row>
    <row r="121" spans="2:3" ht="15.6">
      <c r="B121" s="367" t="s">
        <v>757</v>
      </c>
      <c r="C121" s="368" t="s">
        <v>758</v>
      </c>
    </row>
    <row r="122" spans="2:3" ht="15.6">
      <c r="B122" s="367" t="s">
        <v>759</v>
      </c>
      <c r="C122" s="368" t="s">
        <v>760</v>
      </c>
    </row>
    <row r="123" spans="2:3" ht="15.6">
      <c r="B123" s="367" t="s">
        <v>761</v>
      </c>
      <c r="C123" s="368" t="s">
        <v>762</v>
      </c>
    </row>
    <row r="124" spans="2:3" ht="15.6">
      <c r="B124" s="367" t="s">
        <v>763</v>
      </c>
      <c r="C124" s="368" t="s">
        <v>764</v>
      </c>
    </row>
    <row r="125" spans="2:3" ht="15.6">
      <c r="B125" s="367" t="s">
        <v>765</v>
      </c>
      <c r="C125" s="368" t="s">
        <v>766</v>
      </c>
    </row>
    <row r="126" spans="2:3" ht="15.6">
      <c r="B126" s="367" t="s">
        <v>767</v>
      </c>
      <c r="C126" s="368" t="s">
        <v>768</v>
      </c>
    </row>
    <row r="127" spans="2:3" ht="15.6">
      <c r="B127" s="367" t="s">
        <v>769</v>
      </c>
      <c r="C127" s="368" t="s">
        <v>770</v>
      </c>
    </row>
    <row r="128" spans="2:3" ht="15.6">
      <c r="B128" s="367" t="s">
        <v>771</v>
      </c>
      <c r="C128" s="368" t="s">
        <v>772</v>
      </c>
    </row>
    <row r="129" spans="2:3" ht="15.6">
      <c r="B129" s="367" t="s">
        <v>773</v>
      </c>
      <c r="C129" s="368" t="s">
        <v>774</v>
      </c>
    </row>
    <row r="130" spans="2:3" ht="15.6">
      <c r="B130" s="367" t="s">
        <v>775</v>
      </c>
      <c r="C130" s="368" t="s">
        <v>776</v>
      </c>
    </row>
    <row r="131" spans="2:3" ht="15.6">
      <c r="B131" s="367" t="s">
        <v>777</v>
      </c>
      <c r="C131" s="368" t="s">
        <v>778</v>
      </c>
    </row>
    <row r="132" spans="2:3" ht="15.6">
      <c r="B132" s="367" t="s">
        <v>779</v>
      </c>
      <c r="C132" s="368" t="s">
        <v>780</v>
      </c>
    </row>
    <row r="133" spans="2:3" ht="15.6">
      <c r="B133" s="367" t="s">
        <v>781</v>
      </c>
      <c r="C133" s="368" t="s">
        <v>782</v>
      </c>
    </row>
    <row r="134" spans="2:3" ht="15.6">
      <c r="B134" s="367" t="s">
        <v>783</v>
      </c>
      <c r="C134" s="368" t="s">
        <v>784</v>
      </c>
    </row>
    <row r="135" spans="2:3" ht="15.6">
      <c r="B135" s="367" t="s">
        <v>785</v>
      </c>
      <c r="C135" s="368" t="s">
        <v>786</v>
      </c>
    </row>
    <row r="136" spans="2:3" ht="15.6">
      <c r="B136" s="367" t="s">
        <v>787</v>
      </c>
      <c r="C136" s="368" t="s">
        <v>788</v>
      </c>
    </row>
    <row r="137" spans="2:3" ht="15.6">
      <c r="B137" s="367" t="s">
        <v>789</v>
      </c>
      <c r="C137" s="368" t="s">
        <v>790</v>
      </c>
    </row>
    <row r="138" spans="2:3" ht="15.6">
      <c r="B138" s="367" t="s">
        <v>791</v>
      </c>
      <c r="C138" s="368" t="s">
        <v>792</v>
      </c>
    </row>
    <row r="139" spans="2:3" ht="15.6">
      <c r="B139" s="367" t="s">
        <v>793</v>
      </c>
      <c r="C139" s="368" t="s">
        <v>794</v>
      </c>
    </row>
    <row r="140" spans="2:3" ht="15.6">
      <c r="B140" s="367" t="s">
        <v>795</v>
      </c>
      <c r="C140" s="368" t="s">
        <v>796</v>
      </c>
    </row>
    <row r="141" spans="2:3" ht="15.6">
      <c r="B141" s="367" t="s">
        <v>797</v>
      </c>
      <c r="C141" s="368" t="s">
        <v>798</v>
      </c>
    </row>
    <row r="142" spans="2:3" ht="15.6">
      <c r="B142" s="367" t="s">
        <v>799</v>
      </c>
      <c r="C142" s="368" t="s">
        <v>800</v>
      </c>
    </row>
    <row r="143" spans="2:3" ht="15.6">
      <c r="B143" s="367" t="s">
        <v>801</v>
      </c>
      <c r="C143" s="368" t="s">
        <v>802</v>
      </c>
    </row>
    <row r="144" spans="2:3" ht="15.6">
      <c r="B144" s="367" t="s">
        <v>803</v>
      </c>
      <c r="C144" s="368" t="s">
        <v>804</v>
      </c>
    </row>
    <row r="145" spans="2:3" ht="15.6">
      <c r="B145" s="367" t="s">
        <v>805</v>
      </c>
      <c r="C145" s="368" t="s">
        <v>806</v>
      </c>
    </row>
    <row r="146" spans="2:3" ht="15.6">
      <c r="B146" s="367" t="s">
        <v>807</v>
      </c>
      <c r="C146" s="368" t="s">
        <v>808</v>
      </c>
    </row>
    <row r="147" spans="2:3" ht="15.6">
      <c r="B147" s="367" t="s">
        <v>809</v>
      </c>
      <c r="C147" s="368" t="s">
        <v>810</v>
      </c>
    </row>
    <row r="148" spans="2:3" ht="30.95">
      <c r="B148" s="367" t="s">
        <v>811</v>
      </c>
      <c r="C148" s="368" t="s">
        <v>812</v>
      </c>
    </row>
    <row r="149" spans="2:3" ht="15.6">
      <c r="B149" s="367" t="s">
        <v>813</v>
      </c>
      <c r="C149" s="368" t="s">
        <v>814</v>
      </c>
    </row>
    <row r="150" spans="2:3" ht="15.6">
      <c r="B150" s="367" t="s">
        <v>815</v>
      </c>
      <c r="C150" s="368" t="s">
        <v>816</v>
      </c>
    </row>
    <row r="151" spans="2:3" ht="15.6">
      <c r="B151" s="367" t="s">
        <v>817</v>
      </c>
      <c r="C151" s="368" t="s">
        <v>818</v>
      </c>
    </row>
    <row r="152" spans="2:3" ht="15.6">
      <c r="B152" s="367" t="s">
        <v>819</v>
      </c>
      <c r="C152" s="368" t="s">
        <v>820</v>
      </c>
    </row>
    <row r="153" spans="2:3" ht="15.6">
      <c r="B153" s="367" t="s">
        <v>821</v>
      </c>
      <c r="C153" s="368" t="s">
        <v>822</v>
      </c>
    </row>
    <row r="154" spans="2:3" ht="15.6">
      <c r="B154" s="367" t="s">
        <v>823</v>
      </c>
      <c r="C154" s="368" t="s">
        <v>824</v>
      </c>
    </row>
    <row r="155" spans="2:3" ht="15.6">
      <c r="B155" s="367" t="s">
        <v>825</v>
      </c>
      <c r="C155" s="368" t="s">
        <v>826</v>
      </c>
    </row>
    <row r="156" spans="2:3" ht="15.6">
      <c r="B156" s="367" t="s">
        <v>827</v>
      </c>
      <c r="C156" s="368" t="s">
        <v>828</v>
      </c>
    </row>
    <row r="157" spans="2:3" ht="15.6">
      <c r="B157" s="367" t="s">
        <v>829</v>
      </c>
      <c r="C157" s="368" t="s">
        <v>830</v>
      </c>
    </row>
    <row r="158" spans="2:3" ht="15.6">
      <c r="B158" s="367" t="s">
        <v>831</v>
      </c>
      <c r="C158" s="368" t="s">
        <v>832</v>
      </c>
    </row>
    <row r="159" spans="2:3" ht="15.6">
      <c r="B159" s="367" t="s">
        <v>833</v>
      </c>
      <c r="C159" s="368" t="s">
        <v>834</v>
      </c>
    </row>
    <row r="160" spans="2:3" ht="15.6">
      <c r="B160" s="367" t="s">
        <v>835</v>
      </c>
      <c r="C160" s="368" t="s">
        <v>836</v>
      </c>
    </row>
    <row r="161" spans="2:3" ht="15.6">
      <c r="B161" s="367" t="s">
        <v>837</v>
      </c>
      <c r="C161" s="368" t="s">
        <v>838</v>
      </c>
    </row>
    <row r="162" spans="2:3" ht="15.6">
      <c r="B162" s="372" t="s">
        <v>839</v>
      </c>
      <c r="C162" s="373" t="s">
        <v>840</v>
      </c>
    </row>
    <row r="163" spans="2:3">
      <c r="B163"/>
    </row>
    <row r="164" spans="2:3">
      <c r="B164"/>
    </row>
    <row r="165" spans="2:3">
      <c r="B165"/>
    </row>
    <row r="166" spans="2:3">
      <c r="B166"/>
    </row>
    <row r="167" spans="2:3">
      <c r="B167"/>
    </row>
    <row r="168" spans="2:3">
      <c r="B168"/>
    </row>
    <row r="169" spans="2:3">
      <c r="B169"/>
    </row>
    <row r="170" spans="2:3">
      <c r="B170"/>
    </row>
    <row r="171" spans="2:3">
      <c r="B171"/>
    </row>
    <row r="172" spans="2:3">
      <c r="B172"/>
    </row>
    <row r="173" spans="2:3">
      <c r="B173"/>
    </row>
    <row r="174" spans="2:3">
      <c r="B174"/>
    </row>
    <row r="175" spans="2:3">
      <c r="B175"/>
    </row>
    <row r="176" spans="2:3">
      <c r="B176"/>
    </row>
    <row r="177" spans="2:2">
      <c r="B177"/>
    </row>
    <row r="178" spans="2:2">
      <c r="B178"/>
    </row>
    <row r="179" spans="2:2">
      <c r="B179"/>
    </row>
    <row r="180" spans="2:2">
      <c r="B180"/>
    </row>
    <row r="181" spans="2:2">
      <c r="B181"/>
    </row>
    <row r="182" spans="2:2">
      <c r="B182"/>
    </row>
    <row r="183" spans="2:2">
      <c r="B183"/>
    </row>
    <row r="184" spans="2:2">
      <c r="B184"/>
    </row>
    <row r="185" spans="2:2">
      <c r="B185"/>
    </row>
    <row r="186" spans="2:2">
      <c r="B186"/>
    </row>
    <row r="187" spans="2:2">
      <c r="B187"/>
    </row>
    <row r="188" spans="2:2">
      <c r="B188"/>
    </row>
    <row r="189" spans="2:2">
      <c r="B189"/>
    </row>
    <row r="190" spans="2:2">
      <c r="B190"/>
    </row>
    <row r="191" spans="2:2">
      <c r="B191"/>
    </row>
    <row r="192" spans="2:2">
      <c r="B192"/>
    </row>
    <row r="193" spans="2:2">
      <c r="B193"/>
    </row>
    <row r="194" spans="2:2">
      <c r="B194"/>
    </row>
    <row r="195" spans="2:2">
      <c r="B195"/>
    </row>
    <row r="196" spans="2:2">
      <c r="B196"/>
    </row>
    <row r="197" spans="2:2">
      <c r="B197"/>
    </row>
    <row r="198" spans="2:2">
      <c r="B198"/>
    </row>
    <row r="199" spans="2:2">
      <c r="B199"/>
    </row>
    <row r="200" spans="2:2">
      <c r="B200"/>
    </row>
    <row r="201" spans="2:2">
      <c r="B201"/>
    </row>
    <row r="202" spans="2:2">
      <c r="B202"/>
    </row>
    <row r="203" spans="2:2">
      <c r="B203"/>
    </row>
    <row r="204" spans="2:2">
      <c r="B204"/>
    </row>
    <row r="205" spans="2:2">
      <c r="B205"/>
    </row>
    <row r="206" spans="2:2">
      <c r="B206"/>
    </row>
    <row r="207" spans="2:2">
      <c r="B207"/>
    </row>
    <row r="208" spans="2:2">
      <c r="B208"/>
    </row>
    <row r="209" spans="2:2">
      <c r="B209"/>
    </row>
    <row r="210" spans="2:2">
      <c r="B210"/>
    </row>
    <row r="211" spans="2:2">
      <c r="B211"/>
    </row>
    <row r="212" spans="2:2">
      <c r="B212"/>
    </row>
    <row r="213" spans="2:2">
      <c r="B213"/>
    </row>
    <row r="214" spans="2:2">
      <c r="B214"/>
    </row>
    <row r="215" spans="2:2">
      <c r="B215"/>
    </row>
    <row r="216" spans="2:2">
      <c r="B216"/>
    </row>
    <row r="217" spans="2:2">
      <c r="B217"/>
    </row>
    <row r="218" spans="2:2">
      <c r="B218"/>
    </row>
    <row r="219" spans="2:2">
      <c r="B219"/>
    </row>
    <row r="220" spans="2:2">
      <c r="B220"/>
    </row>
    <row r="221" spans="2:2">
      <c r="B221"/>
    </row>
    <row r="222" spans="2:2">
      <c r="B222"/>
    </row>
    <row r="223" spans="2:2">
      <c r="B223"/>
    </row>
    <row r="224" spans="2:2">
      <c r="B224"/>
    </row>
    <row r="225" spans="2:2">
      <c r="B225"/>
    </row>
    <row r="226" spans="2:2">
      <c r="B226"/>
    </row>
    <row r="227" spans="2:2">
      <c r="B227"/>
    </row>
    <row r="228" spans="2:2">
      <c r="B228"/>
    </row>
    <row r="229" spans="2:2">
      <c r="B229"/>
    </row>
    <row r="230" spans="2:2">
      <c r="B230"/>
    </row>
    <row r="231" spans="2:2">
      <c r="B231"/>
    </row>
    <row r="232" spans="2:2">
      <c r="B232"/>
    </row>
    <row r="233" spans="2:2">
      <c r="B233"/>
    </row>
    <row r="234" spans="2:2">
      <c r="B234"/>
    </row>
    <row r="235" spans="2:2">
      <c r="B235"/>
    </row>
    <row r="236" spans="2:2">
      <c r="B236"/>
    </row>
    <row r="237" spans="2:2">
      <c r="B237"/>
    </row>
    <row r="238" spans="2:2">
      <c r="B238"/>
    </row>
    <row r="239" spans="2:2">
      <c r="B239"/>
    </row>
    <row r="240" spans="2:2">
      <c r="B240"/>
    </row>
    <row r="241" spans="2:2">
      <c r="B241"/>
    </row>
    <row r="242" spans="2:2">
      <c r="B242"/>
    </row>
    <row r="243" spans="2:2">
      <c r="B243"/>
    </row>
    <row r="244" spans="2:2">
      <c r="B244"/>
    </row>
    <row r="245" spans="2:2">
      <c r="B245"/>
    </row>
    <row r="246" spans="2:2">
      <c r="B246"/>
    </row>
    <row r="247" spans="2:2">
      <c r="B247"/>
    </row>
    <row r="248" spans="2:2">
      <c r="B248"/>
    </row>
    <row r="249" spans="2:2">
      <c r="B249"/>
    </row>
    <row r="250" spans="2:2">
      <c r="B250"/>
    </row>
    <row r="251" spans="2:2">
      <c r="B251"/>
    </row>
    <row r="252" spans="2:2">
      <c r="B252"/>
    </row>
    <row r="253" spans="2:2">
      <c r="B253"/>
    </row>
    <row r="254" spans="2:2">
      <c r="B254"/>
    </row>
    <row r="255" spans="2:2">
      <c r="B255"/>
    </row>
    <row r="256" spans="2:2">
      <c r="B256"/>
    </row>
    <row r="257" spans="2:2">
      <c r="B257"/>
    </row>
    <row r="258" spans="2:2">
      <c r="B258"/>
    </row>
    <row r="259" spans="2:2">
      <c r="B259"/>
    </row>
    <row r="260" spans="2:2">
      <c r="B260"/>
    </row>
    <row r="261" spans="2:2">
      <c r="B261"/>
    </row>
    <row r="262" spans="2:2">
      <c r="B262"/>
    </row>
    <row r="263" spans="2:2">
      <c r="B263"/>
    </row>
    <row r="264" spans="2:2">
      <c r="B264"/>
    </row>
    <row r="265" spans="2:2">
      <c r="B265"/>
    </row>
    <row r="266" spans="2:2">
      <c r="B266"/>
    </row>
    <row r="267" spans="2:2">
      <c r="B267"/>
    </row>
    <row r="268" spans="2:2">
      <c r="B268"/>
    </row>
    <row r="269" spans="2:2">
      <c r="B269"/>
    </row>
    <row r="270" spans="2:2">
      <c r="B270"/>
    </row>
    <row r="271" spans="2:2">
      <c r="B271"/>
    </row>
    <row r="272" spans="2:2">
      <c r="B272"/>
    </row>
    <row r="273" spans="2:2">
      <c r="B273"/>
    </row>
    <row r="274" spans="2:2">
      <c r="B274"/>
    </row>
    <row r="275" spans="2:2">
      <c r="B275"/>
    </row>
    <row r="276" spans="2:2">
      <c r="B276"/>
    </row>
  </sheetData>
  <sortState xmlns:xlrd2="http://schemas.microsoft.com/office/spreadsheetml/2017/richdata2" ref="B24:B276">
    <sortCondition ref="B24:B276"/>
  </sortState>
  <mergeCells count="1">
    <mergeCell ref="B5:E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8D036-1F2E-4CE4-B988-05D0F4E5F858}">
  <dimension ref="A1:BK17"/>
  <sheetViews>
    <sheetView showGridLines="0" zoomScale="90" zoomScaleNormal="70" workbookViewId="0"/>
  </sheetViews>
  <sheetFormatPr defaultRowHeight="14.45"/>
  <cols>
    <col min="1" max="1" width="9.28515625" customWidth="1"/>
    <col min="2" max="2" width="63.140625" bestFit="1" customWidth="1"/>
    <col min="3" max="3" width="15.5703125" bestFit="1" customWidth="1"/>
    <col min="4" max="4" width="21" bestFit="1" customWidth="1"/>
    <col min="5" max="5" width="10.5703125" bestFit="1" customWidth="1"/>
    <col min="6" max="7" width="9.140625" bestFit="1" customWidth="1"/>
    <col min="8" max="8" width="9.5703125" bestFit="1" customWidth="1"/>
    <col min="10" max="10" width="8" bestFit="1" customWidth="1"/>
    <col min="16" max="16" width="8" bestFit="1" customWidth="1"/>
  </cols>
  <sheetData>
    <row r="1" spans="1:63" ht="25.5" thickBot="1">
      <c r="A1" s="67" t="s">
        <v>20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row>
    <row r="4" spans="1:63" ht="24" thickBot="1">
      <c r="B4" s="208" t="s">
        <v>21</v>
      </c>
    </row>
    <row r="5" spans="1:63" ht="21.6" thickBot="1">
      <c r="B5" s="290" t="str">
        <f>'Inputs - List of Trees'!A111</f>
        <v>Total number of trees</v>
      </c>
      <c r="C5" s="291">
        <f>'Inputs - List of Trees'!B111</f>
        <v>1</v>
      </c>
      <c r="L5" s="302"/>
    </row>
    <row r="6" spans="1:63" ht="15" thickBot="1"/>
    <row r="7" spans="1:63" ht="24" thickBot="1">
      <c r="B7" s="208" t="s">
        <v>22</v>
      </c>
      <c r="C7" s="323" t="s">
        <v>23</v>
      </c>
      <c r="D7" s="324" t="s">
        <v>24</v>
      </c>
    </row>
    <row r="8" spans="1:63" ht="18.600000000000001">
      <c r="B8" s="344" t="str">
        <f>'Input - General and Overview'!B20</f>
        <v>Pre-planting costs</v>
      </c>
      <c r="C8" s="347">
        <f>SUM('Input - General and Overview'!D20:F20)</f>
        <v>0</v>
      </c>
      <c r="D8" s="280">
        <f>C8/$C$5</f>
        <v>0</v>
      </c>
    </row>
    <row r="9" spans="1:63" ht="18.600000000000001">
      <c r="B9" s="345" t="str">
        <f>'Input - General and Overview'!B21</f>
        <v>Tree purchasing costs</v>
      </c>
      <c r="C9" s="348">
        <f>SUM('Input - General and Overview'!D21:F21)</f>
        <v>0</v>
      </c>
      <c r="D9" s="281">
        <f>C9/$C$5</f>
        <v>0</v>
      </c>
    </row>
    <row r="10" spans="1:63" ht="18.600000000000001">
      <c r="B10" s="345" t="str">
        <f>'Input - General and Overview'!B22</f>
        <v>Tree planting costs</v>
      </c>
      <c r="C10" s="348">
        <f>SUM('Input - General and Overview'!D22:F22)</f>
        <v>0</v>
      </c>
      <c r="D10" s="281">
        <f>C10/$C$5</f>
        <v>0</v>
      </c>
    </row>
    <row r="11" spans="1:63" ht="18.600000000000001">
      <c r="B11" s="345" t="str">
        <f>'Input - General and Overview'!B23</f>
        <v>Tree establishment and early maintenance costs</v>
      </c>
      <c r="C11" s="348">
        <f>SUM('Input - General and Overview'!D23:F23)</f>
        <v>0</v>
      </c>
      <c r="D11" s="281">
        <f>(C11/$C$5)</f>
        <v>0</v>
      </c>
    </row>
    <row r="12" spans="1:63" ht="18.600000000000001">
      <c r="B12" s="345" t="str">
        <f>'Input - General and Overview'!B24</f>
        <v>Long-term maintenance</v>
      </c>
      <c r="C12" s="348">
        <f>SUM('Input - General and Overview'!D24:F24)</f>
        <v>0</v>
      </c>
      <c r="D12" s="281">
        <f>(C12/$C$5)</f>
        <v>0</v>
      </c>
    </row>
    <row r="13" spans="1:63" ht="18.95" thickBot="1">
      <c r="B13" s="346" t="str">
        <f>'Input - General and Overview'!B25</f>
        <v>Monitoring, Reporting and Verification (MRV) costs</v>
      </c>
      <c r="C13" s="349">
        <f>SUM('Input - General and Overview'!D25:F25)</f>
        <v>0</v>
      </c>
      <c r="D13" s="282">
        <f>C13/$C$5</f>
        <v>0</v>
      </c>
    </row>
    <row r="14" spans="1:63" ht="18.600000000000001">
      <c r="B14" s="377" t="str">
        <f>'Input - General and Overview'!B26</f>
        <v>Total costs</v>
      </c>
      <c r="C14" s="328">
        <f>INDEX('Input - General and Overview'!$D$20:$F$28, MATCH($B14,'Input - General and Overview'!$B$20:$B$28,0),MATCH('Input - General and Overview'!$C$12,'Input - General and Overview'!$D$17:$F$17,0))</f>
        <v>0</v>
      </c>
      <c r="D14" s="329">
        <f>C14/$C$5</f>
        <v>0</v>
      </c>
      <c r="E14" s="104"/>
    </row>
    <row r="15" spans="1:63" ht="18.600000000000001">
      <c r="B15" s="378" t="str">
        <f>'Input - General and Overview'!B27</f>
        <v>Bulk order tree purchasing discount</v>
      </c>
      <c r="C15" s="330">
        <f>INDEX('Input - General and Overview'!$D$20:$F$28, MATCH($B15,'Input - General and Overview'!$B$20:$B$28,0),MATCH('Input - General and Overview'!$C$12,'Input - General and Overview'!$D$17:$F$17,0))</f>
        <v>0</v>
      </c>
      <c r="D15" s="331">
        <f>C15/$C$5</f>
        <v>0</v>
      </c>
    </row>
    <row r="16" spans="1:63" ht="18.95" thickBot="1">
      <c r="B16" s="379" t="str">
        <f>'Input - General and Overview'!B28</f>
        <v>Total costs incl. inflation and bulk order discount rate</v>
      </c>
      <c r="C16" s="332">
        <f>INDEX('Input - General and Overview'!$D$20:$F$28, MATCH($B16,'Input - General and Overview'!$B$20:$B$28,0),MATCH('Input - General and Overview'!$C$12,'Input - General and Overview'!$D$17:$F$17,0))</f>
        <v>0</v>
      </c>
      <c r="D16" s="333">
        <f>C16/$C$5</f>
        <v>0</v>
      </c>
    </row>
    <row r="17" spans="3:3">
      <c r="C17" s="265"/>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CCC92-7019-4DE9-B727-7A0B84D53D9C}">
  <sheetPr>
    <tabColor rgb="FF92D050"/>
  </sheetPr>
  <dimension ref="A1:Y111"/>
  <sheetViews>
    <sheetView showGridLines="0" zoomScale="80" zoomScaleNormal="80" workbookViewId="0">
      <pane xSplit="1" ySplit="8" topLeftCell="B9" activePane="bottomRight" state="frozen"/>
      <selection pane="bottomRight" activeCell="D5" sqref="D5"/>
      <selection pane="bottomLeft" activeCell="A4" sqref="A4"/>
      <selection pane="topRight" activeCell="B1" sqref="B1"/>
    </sheetView>
  </sheetViews>
  <sheetFormatPr defaultRowHeight="14.45" outlineLevelRow="1"/>
  <cols>
    <col min="1" max="1" width="22.140625" customWidth="1"/>
    <col min="2" max="2" width="16.140625" bestFit="1" customWidth="1"/>
    <col min="3" max="3" width="12.140625" customWidth="1"/>
    <col min="4" max="7" width="30.5703125" customWidth="1"/>
  </cols>
  <sheetData>
    <row r="1" spans="1:25" s="106" customFormat="1" ht="25.5" thickBot="1">
      <c r="A1" s="67" t="s">
        <v>25</v>
      </c>
      <c r="B1" s="67"/>
      <c r="C1" s="67"/>
      <c r="D1" s="62"/>
      <c r="E1" s="62"/>
      <c r="F1" s="62"/>
      <c r="G1" s="62"/>
      <c r="H1" s="62"/>
      <c r="I1" s="62"/>
      <c r="J1" s="62"/>
      <c r="K1" s="62"/>
      <c r="L1" s="62"/>
      <c r="M1" s="62"/>
      <c r="N1" s="62"/>
      <c r="O1" s="62"/>
      <c r="P1" s="62"/>
      <c r="Q1" s="62"/>
      <c r="R1" s="62"/>
      <c r="S1" s="62"/>
      <c r="T1" s="62"/>
      <c r="U1" s="62"/>
      <c r="V1" s="62"/>
      <c r="W1" s="62"/>
      <c r="X1" s="62"/>
      <c r="Y1" s="62"/>
    </row>
    <row r="3" spans="1:25">
      <c r="A3" t="s">
        <v>26</v>
      </c>
      <c r="D3" s="219" t="s">
        <v>27</v>
      </c>
      <c r="E3" s="22" t="s">
        <v>28</v>
      </c>
    </row>
    <row r="4" spans="1:25">
      <c r="E4" s="22"/>
    </row>
    <row r="5" spans="1:25">
      <c r="A5" s="3" t="s">
        <v>27</v>
      </c>
      <c r="D5" s="219">
        <v>1</v>
      </c>
      <c r="E5" s="22" t="s">
        <v>28</v>
      </c>
    </row>
    <row r="6" spans="1:25">
      <c r="A6" s="3" t="s">
        <v>29</v>
      </c>
      <c r="D6" s="105" t="s">
        <v>30</v>
      </c>
      <c r="E6" s="22" t="s">
        <v>28</v>
      </c>
    </row>
    <row r="8" spans="1:25">
      <c r="A8" t="s">
        <v>31</v>
      </c>
      <c r="B8" s="220" t="s">
        <v>32</v>
      </c>
      <c r="C8" s="220" t="s">
        <v>33</v>
      </c>
      <c r="D8" s="220" t="s">
        <v>34</v>
      </c>
      <c r="E8" s="220" t="s">
        <v>35</v>
      </c>
      <c r="F8" s="220" t="s">
        <v>36</v>
      </c>
    </row>
    <row r="9" spans="1:25">
      <c r="B9" s="241" t="str">
        <f>IF(AND($D$3=$A$8,$C9="Yes"),1,"-")</f>
        <v>-</v>
      </c>
      <c r="C9" s="105"/>
      <c r="D9" s="105"/>
      <c r="E9" s="105"/>
      <c r="F9" s="105"/>
    </row>
    <row r="10" spans="1:25">
      <c r="B10" s="241" t="str">
        <f t="shared" ref="B10:B41" si="0">IF(AND($D$3=$A$8,$C10="Yes"),$B9+1,"-")</f>
        <v>-</v>
      </c>
      <c r="C10" s="105"/>
      <c r="D10" s="105"/>
      <c r="E10" s="105"/>
      <c r="F10" s="105"/>
    </row>
    <row r="11" spans="1:25">
      <c r="B11" s="241" t="str">
        <f t="shared" si="0"/>
        <v>-</v>
      </c>
      <c r="C11" s="105"/>
      <c r="D11" s="105"/>
      <c r="E11" s="105"/>
      <c r="F11" s="105"/>
    </row>
    <row r="12" spans="1:25">
      <c r="B12" s="241" t="str">
        <f t="shared" si="0"/>
        <v>-</v>
      </c>
      <c r="C12" s="105"/>
      <c r="D12" s="105"/>
      <c r="E12" s="105"/>
      <c r="F12" s="105"/>
    </row>
    <row r="13" spans="1:25">
      <c r="B13" s="241" t="str">
        <f t="shared" si="0"/>
        <v>-</v>
      </c>
      <c r="C13" s="105"/>
      <c r="D13" s="105"/>
      <c r="E13" s="105"/>
      <c r="F13" s="105"/>
    </row>
    <row r="14" spans="1:25">
      <c r="B14" s="241" t="str">
        <f t="shared" si="0"/>
        <v>-</v>
      </c>
      <c r="C14" s="105"/>
      <c r="D14" s="105"/>
      <c r="E14" s="105"/>
      <c r="F14" s="105"/>
    </row>
    <row r="15" spans="1:25">
      <c r="B15" s="241" t="str">
        <f t="shared" si="0"/>
        <v>-</v>
      </c>
      <c r="C15" s="105"/>
      <c r="D15" s="105"/>
      <c r="E15" s="105"/>
      <c r="F15" s="105"/>
    </row>
    <row r="16" spans="1:25">
      <c r="B16" s="241" t="str">
        <f t="shared" si="0"/>
        <v>-</v>
      </c>
      <c r="C16" s="105"/>
      <c r="D16" s="105"/>
      <c r="E16" s="105"/>
      <c r="F16" s="105"/>
    </row>
    <row r="17" spans="1:6">
      <c r="B17" s="241" t="str">
        <f t="shared" si="0"/>
        <v>-</v>
      </c>
      <c r="C17" s="105"/>
      <c r="D17" s="105"/>
      <c r="E17" s="105"/>
      <c r="F17" s="105"/>
    </row>
    <row r="18" spans="1:6">
      <c r="B18" s="241" t="str">
        <f t="shared" si="0"/>
        <v>-</v>
      </c>
      <c r="C18" s="105"/>
      <c r="D18" s="105"/>
      <c r="E18" s="105"/>
      <c r="F18" s="105"/>
    </row>
    <row r="19" spans="1:6">
      <c r="B19" s="241" t="str">
        <f t="shared" si="0"/>
        <v>-</v>
      </c>
      <c r="C19" s="105"/>
      <c r="D19" s="105"/>
      <c r="E19" s="105"/>
      <c r="F19" s="105"/>
    </row>
    <row r="20" spans="1:6">
      <c r="B20" s="241" t="str">
        <f t="shared" si="0"/>
        <v>-</v>
      </c>
      <c r="C20" s="105"/>
      <c r="D20" s="105"/>
      <c r="E20" s="105"/>
      <c r="F20" s="105"/>
    </row>
    <row r="21" spans="1:6">
      <c r="B21" s="241" t="str">
        <f t="shared" si="0"/>
        <v>-</v>
      </c>
      <c r="C21" s="105"/>
      <c r="D21" s="105"/>
      <c r="E21" s="105"/>
      <c r="F21" s="105"/>
    </row>
    <row r="22" spans="1:6">
      <c r="B22" s="241" t="str">
        <f t="shared" si="0"/>
        <v>-</v>
      </c>
      <c r="C22" s="105"/>
      <c r="D22" s="105"/>
      <c r="E22" s="105"/>
      <c r="F22" s="105"/>
    </row>
    <row r="23" spans="1:6">
      <c r="B23" s="241" t="str">
        <f t="shared" si="0"/>
        <v>-</v>
      </c>
      <c r="C23" s="105"/>
      <c r="D23" s="105"/>
      <c r="E23" s="105"/>
      <c r="F23" s="105"/>
    </row>
    <row r="24" spans="1:6">
      <c r="B24" s="241" t="str">
        <f t="shared" si="0"/>
        <v>-</v>
      </c>
      <c r="C24" s="105"/>
      <c r="D24" s="105"/>
      <c r="E24" s="105"/>
      <c r="F24" s="105"/>
    </row>
    <row r="25" spans="1:6">
      <c r="B25" s="241" t="str">
        <f t="shared" si="0"/>
        <v>-</v>
      </c>
      <c r="C25" s="105"/>
      <c r="D25" s="105"/>
      <c r="E25" s="105"/>
      <c r="F25" s="105"/>
    </row>
    <row r="26" spans="1:6">
      <c r="B26" s="241" t="str">
        <f t="shared" si="0"/>
        <v>-</v>
      </c>
      <c r="C26" s="105"/>
      <c r="D26" s="105"/>
      <c r="E26" s="105"/>
      <c r="F26" s="105"/>
    </row>
    <row r="27" spans="1:6">
      <c r="A27" s="22" t="s">
        <v>37</v>
      </c>
      <c r="B27" s="241" t="str">
        <f t="shared" si="0"/>
        <v>-</v>
      </c>
      <c r="C27" s="105"/>
      <c r="D27" s="105"/>
      <c r="E27" s="105"/>
      <c r="F27" s="105"/>
    </row>
    <row r="28" spans="1:6">
      <c r="A28" s="22" t="s">
        <v>38</v>
      </c>
      <c r="B28" s="241" t="str">
        <f t="shared" si="0"/>
        <v>-</v>
      </c>
      <c r="C28" s="105"/>
      <c r="D28" s="105"/>
      <c r="E28" s="105"/>
      <c r="F28" s="105"/>
    </row>
    <row r="29" spans="1:6">
      <c r="B29" s="241" t="str">
        <f t="shared" si="0"/>
        <v>-</v>
      </c>
      <c r="C29" s="105"/>
      <c r="D29" s="105"/>
      <c r="E29" s="105"/>
      <c r="F29" s="105"/>
    </row>
    <row r="30" spans="1:6" hidden="1" outlineLevel="1">
      <c r="B30" s="241" t="str">
        <f t="shared" si="0"/>
        <v>-</v>
      </c>
      <c r="C30" s="105"/>
      <c r="D30" s="105"/>
      <c r="E30" s="105"/>
      <c r="F30" s="105"/>
    </row>
    <row r="31" spans="1:6" hidden="1" outlineLevel="1">
      <c r="B31" s="241" t="str">
        <f t="shared" si="0"/>
        <v>-</v>
      </c>
      <c r="C31" s="105"/>
      <c r="D31" s="105"/>
      <c r="E31" s="105"/>
      <c r="F31" s="105"/>
    </row>
    <row r="32" spans="1:6" hidden="1" outlineLevel="1">
      <c r="B32" s="241" t="str">
        <f t="shared" si="0"/>
        <v>-</v>
      </c>
      <c r="C32" s="105"/>
      <c r="D32" s="105"/>
      <c r="E32" s="105"/>
      <c r="F32" s="105"/>
    </row>
    <row r="33" spans="2:6" hidden="1" outlineLevel="1">
      <c r="B33" s="241" t="str">
        <f t="shared" si="0"/>
        <v>-</v>
      </c>
      <c r="C33" s="105"/>
      <c r="D33" s="105"/>
      <c r="E33" s="105"/>
      <c r="F33" s="105"/>
    </row>
    <row r="34" spans="2:6" hidden="1" outlineLevel="1">
      <c r="B34" s="241" t="str">
        <f t="shared" si="0"/>
        <v>-</v>
      </c>
      <c r="C34" s="105"/>
      <c r="D34" s="105"/>
      <c r="E34" s="105"/>
      <c r="F34" s="105"/>
    </row>
    <row r="35" spans="2:6" hidden="1" outlineLevel="1">
      <c r="B35" s="241" t="str">
        <f t="shared" si="0"/>
        <v>-</v>
      </c>
      <c r="C35" s="105"/>
      <c r="D35" s="105"/>
      <c r="E35" s="105"/>
      <c r="F35" s="105"/>
    </row>
    <row r="36" spans="2:6" hidden="1" outlineLevel="1">
      <c r="B36" s="241" t="str">
        <f t="shared" si="0"/>
        <v>-</v>
      </c>
      <c r="C36" s="105"/>
      <c r="D36" s="105"/>
      <c r="E36" s="105"/>
      <c r="F36" s="105"/>
    </row>
    <row r="37" spans="2:6" hidden="1" outlineLevel="1">
      <c r="B37" s="241" t="str">
        <f t="shared" si="0"/>
        <v>-</v>
      </c>
      <c r="C37" s="105"/>
      <c r="D37" s="105"/>
      <c r="E37" s="105"/>
      <c r="F37" s="105"/>
    </row>
    <row r="38" spans="2:6" hidden="1" outlineLevel="1">
      <c r="B38" s="241" t="str">
        <f t="shared" si="0"/>
        <v>-</v>
      </c>
      <c r="C38" s="105"/>
      <c r="D38" s="105"/>
      <c r="E38" s="105"/>
      <c r="F38" s="105"/>
    </row>
    <row r="39" spans="2:6" hidden="1" outlineLevel="1">
      <c r="B39" s="241" t="str">
        <f t="shared" si="0"/>
        <v>-</v>
      </c>
      <c r="C39" s="105"/>
      <c r="D39" s="105"/>
      <c r="E39" s="105"/>
      <c r="F39" s="105"/>
    </row>
    <row r="40" spans="2:6" hidden="1" outlineLevel="1">
      <c r="B40" s="241" t="str">
        <f t="shared" si="0"/>
        <v>-</v>
      </c>
      <c r="C40" s="105"/>
      <c r="D40" s="105"/>
      <c r="E40" s="105"/>
      <c r="F40" s="105"/>
    </row>
    <row r="41" spans="2:6" hidden="1" outlineLevel="1">
      <c r="B41" s="241" t="str">
        <f t="shared" si="0"/>
        <v>-</v>
      </c>
      <c r="C41" s="105"/>
      <c r="D41" s="105"/>
      <c r="E41" s="105"/>
      <c r="F41" s="105"/>
    </row>
    <row r="42" spans="2:6" hidden="1" outlineLevel="1">
      <c r="B42" s="241" t="str">
        <f t="shared" ref="B42:B73" si="1">IF(AND($D$3=$A$8,$C42="Yes"),$B41+1,"-")</f>
        <v>-</v>
      </c>
      <c r="C42" s="105"/>
      <c r="D42" s="105"/>
      <c r="E42" s="105"/>
      <c r="F42" s="105"/>
    </row>
    <row r="43" spans="2:6" hidden="1" outlineLevel="1">
      <c r="B43" s="241" t="str">
        <f t="shared" si="1"/>
        <v>-</v>
      </c>
      <c r="C43" s="105"/>
      <c r="D43" s="105"/>
      <c r="E43" s="105"/>
      <c r="F43" s="105"/>
    </row>
    <row r="44" spans="2:6" hidden="1" outlineLevel="1">
      <c r="B44" s="241" t="str">
        <f t="shared" si="1"/>
        <v>-</v>
      </c>
      <c r="C44" s="105"/>
      <c r="D44" s="105"/>
      <c r="E44" s="105"/>
      <c r="F44" s="105"/>
    </row>
    <row r="45" spans="2:6" hidden="1" outlineLevel="1">
      <c r="B45" s="241" t="str">
        <f t="shared" si="1"/>
        <v>-</v>
      </c>
      <c r="C45" s="105"/>
      <c r="D45" s="105"/>
      <c r="E45" s="105"/>
      <c r="F45" s="105"/>
    </row>
    <row r="46" spans="2:6" hidden="1" outlineLevel="1">
      <c r="B46" s="241" t="str">
        <f t="shared" si="1"/>
        <v>-</v>
      </c>
      <c r="C46" s="105"/>
      <c r="D46" s="105"/>
      <c r="E46" s="105"/>
      <c r="F46" s="105"/>
    </row>
    <row r="47" spans="2:6" hidden="1" outlineLevel="1">
      <c r="B47" s="241" t="str">
        <f t="shared" si="1"/>
        <v>-</v>
      </c>
      <c r="C47" s="105"/>
      <c r="D47" s="105"/>
      <c r="E47" s="105"/>
      <c r="F47" s="105"/>
    </row>
    <row r="48" spans="2:6" hidden="1" outlineLevel="1">
      <c r="B48" s="241" t="str">
        <f t="shared" si="1"/>
        <v>-</v>
      </c>
      <c r="C48" s="105"/>
      <c r="D48" s="105"/>
      <c r="E48" s="105"/>
      <c r="F48" s="105"/>
    </row>
    <row r="49" spans="2:6" hidden="1" outlineLevel="1">
      <c r="B49" s="241" t="str">
        <f t="shared" si="1"/>
        <v>-</v>
      </c>
      <c r="C49" s="105"/>
      <c r="D49" s="105"/>
      <c r="E49" s="105"/>
      <c r="F49" s="105"/>
    </row>
    <row r="50" spans="2:6" hidden="1" outlineLevel="1">
      <c r="B50" s="241" t="str">
        <f t="shared" si="1"/>
        <v>-</v>
      </c>
      <c r="C50" s="105"/>
      <c r="D50" s="105"/>
      <c r="E50" s="105"/>
      <c r="F50" s="105"/>
    </row>
    <row r="51" spans="2:6" hidden="1" outlineLevel="1">
      <c r="B51" s="241" t="str">
        <f t="shared" si="1"/>
        <v>-</v>
      </c>
      <c r="C51" s="105"/>
      <c r="D51" s="105"/>
      <c r="E51" s="105"/>
      <c r="F51" s="105"/>
    </row>
    <row r="52" spans="2:6" hidden="1" outlineLevel="1">
      <c r="B52" s="241" t="str">
        <f t="shared" si="1"/>
        <v>-</v>
      </c>
      <c r="C52" s="105"/>
      <c r="D52" s="105"/>
      <c r="E52" s="105"/>
      <c r="F52" s="105"/>
    </row>
    <row r="53" spans="2:6" hidden="1" outlineLevel="1">
      <c r="B53" s="241" t="str">
        <f t="shared" si="1"/>
        <v>-</v>
      </c>
      <c r="C53" s="105"/>
      <c r="D53" s="105"/>
      <c r="E53" s="105"/>
      <c r="F53" s="105"/>
    </row>
    <row r="54" spans="2:6" hidden="1" outlineLevel="1">
      <c r="B54" s="241" t="str">
        <f t="shared" si="1"/>
        <v>-</v>
      </c>
      <c r="C54" s="105"/>
      <c r="D54" s="105"/>
      <c r="E54" s="105"/>
      <c r="F54" s="105"/>
    </row>
    <row r="55" spans="2:6" hidden="1" outlineLevel="1">
      <c r="B55" s="241" t="str">
        <f t="shared" si="1"/>
        <v>-</v>
      </c>
      <c r="C55" s="105"/>
      <c r="D55" s="105"/>
      <c r="E55" s="105"/>
      <c r="F55" s="105"/>
    </row>
    <row r="56" spans="2:6" hidden="1" outlineLevel="1">
      <c r="B56" s="241" t="str">
        <f t="shared" si="1"/>
        <v>-</v>
      </c>
      <c r="C56" s="105"/>
      <c r="D56" s="105"/>
      <c r="E56" s="105"/>
      <c r="F56" s="105"/>
    </row>
    <row r="57" spans="2:6" hidden="1" outlineLevel="1">
      <c r="B57" s="241" t="str">
        <f t="shared" si="1"/>
        <v>-</v>
      </c>
      <c r="C57" s="105"/>
      <c r="D57" s="105"/>
      <c r="E57" s="105"/>
      <c r="F57" s="105"/>
    </row>
    <row r="58" spans="2:6" hidden="1" outlineLevel="1">
      <c r="B58" s="241" t="str">
        <f t="shared" si="1"/>
        <v>-</v>
      </c>
      <c r="C58" s="105"/>
      <c r="D58" s="105"/>
      <c r="E58" s="105"/>
      <c r="F58" s="105"/>
    </row>
    <row r="59" spans="2:6" hidden="1" outlineLevel="1">
      <c r="B59" s="241" t="str">
        <f t="shared" si="1"/>
        <v>-</v>
      </c>
      <c r="C59" s="105"/>
      <c r="D59" s="105"/>
      <c r="E59" s="105"/>
      <c r="F59" s="105"/>
    </row>
    <row r="60" spans="2:6" hidden="1" outlineLevel="1">
      <c r="B60" s="241" t="str">
        <f t="shared" si="1"/>
        <v>-</v>
      </c>
      <c r="C60" s="105"/>
      <c r="D60" s="105"/>
      <c r="E60" s="105"/>
      <c r="F60" s="105"/>
    </row>
    <row r="61" spans="2:6" hidden="1" outlineLevel="1">
      <c r="B61" s="241" t="str">
        <f t="shared" si="1"/>
        <v>-</v>
      </c>
      <c r="C61" s="105"/>
      <c r="D61" s="105"/>
      <c r="E61" s="105"/>
      <c r="F61" s="105"/>
    </row>
    <row r="62" spans="2:6" hidden="1" outlineLevel="1">
      <c r="B62" s="241" t="str">
        <f t="shared" si="1"/>
        <v>-</v>
      </c>
      <c r="C62" s="105"/>
      <c r="D62" s="105"/>
      <c r="E62" s="105"/>
      <c r="F62" s="105"/>
    </row>
    <row r="63" spans="2:6" hidden="1" outlineLevel="1">
      <c r="B63" s="241" t="str">
        <f t="shared" si="1"/>
        <v>-</v>
      </c>
      <c r="C63" s="105"/>
      <c r="D63" s="105"/>
      <c r="E63" s="105"/>
      <c r="F63" s="105"/>
    </row>
    <row r="64" spans="2:6" hidden="1" outlineLevel="1">
      <c r="B64" s="241" t="str">
        <f t="shared" si="1"/>
        <v>-</v>
      </c>
      <c r="C64" s="105"/>
      <c r="D64" s="105"/>
      <c r="E64" s="105"/>
      <c r="F64" s="105"/>
    </row>
    <row r="65" spans="2:6" hidden="1" outlineLevel="1">
      <c r="B65" s="241" t="str">
        <f t="shared" si="1"/>
        <v>-</v>
      </c>
      <c r="C65" s="105"/>
      <c r="D65" s="105"/>
      <c r="E65" s="105"/>
      <c r="F65" s="105"/>
    </row>
    <row r="66" spans="2:6" hidden="1" outlineLevel="1">
      <c r="B66" s="241" t="str">
        <f t="shared" si="1"/>
        <v>-</v>
      </c>
      <c r="C66" s="105"/>
      <c r="D66" s="105"/>
      <c r="E66" s="105"/>
      <c r="F66" s="105"/>
    </row>
    <row r="67" spans="2:6" hidden="1" outlineLevel="1">
      <c r="B67" s="241" t="str">
        <f t="shared" si="1"/>
        <v>-</v>
      </c>
      <c r="C67" s="105"/>
      <c r="D67" s="105"/>
      <c r="E67" s="105"/>
      <c r="F67" s="105"/>
    </row>
    <row r="68" spans="2:6" hidden="1" outlineLevel="1">
      <c r="B68" s="241" t="str">
        <f t="shared" si="1"/>
        <v>-</v>
      </c>
      <c r="C68" s="105"/>
      <c r="D68" s="105"/>
      <c r="E68" s="105"/>
      <c r="F68" s="105"/>
    </row>
    <row r="69" spans="2:6" hidden="1" outlineLevel="1">
      <c r="B69" s="241" t="str">
        <f t="shared" si="1"/>
        <v>-</v>
      </c>
      <c r="C69" s="105"/>
      <c r="D69" s="105"/>
      <c r="E69" s="105"/>
      <c r="F69" s="105"/>
    </row>
    <row r="70" spans="2:6" hidden="1" outlineLevel="1">
      <c r="B70" s="241" t="str">
        <f t="shared" si="1"/>
        <v>-</v>
      </c>
      <c r="C70" s="105"/>
      <c r="D70" s="105"/>
      <c r="E70" s="105"/>
      <c r="F70" s="105"/>
    </row>
    <row r="71" spans="2:6" hidden="1" outlineLevel="1">
      <c r="B71" s="241" t="str">
        <f t="shared" si="1"/>
        <v>-</v>
      </c>
      <c r="C71" s="105"/>
      <c r="D71" s="105"/>
      <c r="E71" s="105"/>
      <c r="F71" s="105"/>
    </row>
    <row r="72" spans="2:6" hidden="1" outlineLevel="1">
      <c r="B72" s="241" t="str">
        <f t="shared" si="1"/>
        <v>-</v>
      </c>
      <c r="C72" s="105"/>
      <c r="D72" s="105"/>
      <c r="E72" s="105"/>
      <c r="F72" s="105"/>
    </row>
    <row r="73" spans="2:6" hidden="1" outlineLevel="1">
      <c r="B73" s="241" t="str">
        <f t="shared" si="1"/>
        <v>-</v>
      </c>
      <c r="C73" s="105"/>
      <c r="D73" s="105"/>
      <c r="E73" s="105"/>
      <c r="F73" s="105"/>
    </row>
    <row r="74" spans="2:6" hidden="1" outlineLevel="1">
      <c r="B74" s="241" t="str">
        <f t="shared" ref="B74:B108" si="2">IF(AND($D$3=$A$8,$C74="Yes"),$B73+1,"-")</f>
        <v>-</v>
      </c>
      <c r="C74" s="105"/>
      <c r="D74" s="105"/>
      <c r="E74" s="105"/>
      <c r="F74" s="105"/>
    </row>
    <row r="75" spans="2:6" hidden="1" outlineLevel="1">
      <c r="B75" s="241" t="str">
        <f t="shared" si="2"/>
        <v>-</v>
      </c>
      <c r="C75" s="105"/>
      <c r="D75" s="105"/>
      <c r="E75" s="105"/>
      <c r="F75" s="105"/>
    </row>
    <row r="76" spans="2:6" hidden="1" outlineLevel="1">
      <c r="B76" s="241" t="str">
        <f t="shared" si="2"/>
        <v>-</v>
      </c>
      <c r="C76" s="105"/>
      <c r="D76" s="105"/>
      <c r="E76" s="105"/>
      <c r="F76" s="105"/>
    </row>
    <row r="77" spans="2:6" hidden="1" outlineLevel="1">
      <c r="B77" s="241" t="str">
        <f t="shared" si="2"/>
        <v>-</v>
      </c>
      <c r="C77" s="105"/>
      <c r="D77" s="105"/>
      <c r="E77" s="105"/>
      <c r="F77" s="105"/>
    </row>
    <row r="78" spans="2:6" hidden="1" outlineLevel="1">
      <c r="B78" s="241" t="str">
        <f t="shared" si="2"/>
        <v>-</v>
      </c>
      <c r="C78" s="105"/>
      <c r="D78" s="105"/>
      <c r="E78" s="105"/>
      <c r="F78" s="105"/>
    </row>
    <row r="79" spans="2:6" hidden="1" outlineLevel="1">
      <c r="B79" s="241" t="str">
        <f t="shared" si="2"/>
        <v>-</v>
      </c>
      <c r="C79" s="105"/>
      <c r="D79" s="105"/>
      <c r="E79" s="105"/>
      <c r="F79" s="105"/>
    </row>
    <row r="80" spans="2:6" hidden="1" outlineLevel="1">
      <c r="B80" s="241" t="str">
        <f t="shared" si="2"/>
        <v>-</v>
      </c>
      <c r="C80" s="105"/>
      <c r="D80" s="105"/>
      <c r="E80" s="105"/>
      <c r="F80" s="105"/>
    </row>
    <row r="81" spans="2:6" hidden="1" outlineLevel="1">
      <c r="B81" s="241" t="str">
        <f t="shared" si="2"/>
        <v>-</v>
      </c>
      <c r="C81" s="105"/>
      <c r="D81" s="105"/>
      <c r="E81" s="105"/>
      <c r="F81" s="105"/>
    </row>
    <row r="82" spans="2:6" hidden="1" outlineLevel="1">
      <c r="B82" s="241" t="str">
        <f t="shared" si="2"/>
        <v>-</v>
      </c>
      <c r="C82" s="105"/>
      <c r="D82" s="105"/>
      <c r="E82" s="105"/>
      <c r="F82" s="105"/>
    </row>
    <row r="83" spans="2:6" hidden="1" outlineLevel="1">
      <c r="B83" s="241" t="str">
        <f t="shared" si="2"/>
        <v>-</v>
      </c>
      <c r="C83" s="105"/>
      <c r="D83" s="105"/>
      <c r="E83" s="105"/>
      <c r="F83" s="105"/>
    </row>
    <row r="84" spans="2:6" hidden="1" outlineLevel="1">
      <c r="B84" s="241" t="str">
        <f t="shared" si="2"/>
        <v>-</v>
      </c>
      <c r="C84" s="105"/>
      <c r="D84" s="105"/>
      <c r="E84" s="105"/>
      <c r="F84" s="105"/>
    </row>
    <row r="85" spans="2:6" hidden="1" outlineLevel="1">
      <c r="B85" s="241" t="str">
        <f t="shared" si="2"/>
        <v>-</v>
      </c>
      <c r="C85" s="105"/>
      <c r="D85" s="105"/>
      <c r="E85" s="105"/>
      <c r="F85" s="105"/>
    </row>
    <row r="86" spans="2:6" hidden="1" outlineLevel="1">
      <c r="B86" s="241" t="str">
        <f t="shared" si="2"/>
        <v>-</v>
      </c>
      <c r="C86" s="105"/>
      <c r="D86" s="105"/>
      <c r="E86" s="105"/>
      <c r="F86" s="105"/>
    </row>
    <row r="87" spans="2:6" hidden="1" outlineLevel="1">
      <c r="B87" s="241" t="str">
        <f t="shared" si="2"/>
        <v>-</v>
      </c>
      <c r="C87" s="105"/>
      <c r="D87" s="105"/>
      <c r="E87" s="105"/>
      <c r="F87" s="105"/>
    </row>
    <row r="88" spans="2:6" hidden="1" outlineLevel="1">
      <c r="B88" s="241" t="str">
        <f t="shared" si="2"/>
        <v>-</v>
      </c>
      <c r="C88" s="105"/>
      <c r="D88" s="105"/>
      <c r="E88" s="105"/>
      <c r="F88" s="105"/>
    </row>
    <row r="89" spans="2:6" hidden="1" outlineLevel="1">
      <c r="B89" s="241" t="str">
        <f t="shared" si="2"/>
        <v>-</v>
      </c>
      <c r="C89" s="105"/>
      <c r="D89" s="105"/>
      <c r="E89" s="105"/>
      <c r="F89" s="105"/>
    </row>
    <row r="90" spans="2:6" hidden="1" outlineLevel="1">
      <c r="B90" s="241" t="str">
        <f t="shared" si="2"/>
        <v>-</v>
      </c>
      <c r="C90" s="105"/>
      <c r="D90" s="105"/>
      <c r="E90" s="105"/>
      <c r="F90" s="105"/>
    </row>
    <row r="91" spans="2:6" hidden="1" outlineLevel="1">
      <c r="B91" s="241" t="str">
        <f t="shared" si="2"/>
        <v>-</v>
      </c>
      <c r="C91" s="105"/>
      <c r="D91" s="105"/>
      <c r="E91" s="105"/>
      <c r="F91" s="105"/>
    </row>
    <row r="92" spans="2:6" hidden="1" outlineLevel="1">
      <c r="B92" s="241" t="str">
        <f t="shared" si="2"/>
        <v>-</v>
      </c>
      <c r="C92" s="105"/>
      <c r="D92" s="105"/>
      <c r="E92" s="105"/>
      <c r="F92" s="105"/>
    </row>
    <row r="93" spans="2:6" hidden="1" outlineLevel="1">
      <c r="B93" s="241" t="str">
        <f t="shared" si="2"/>
        <v>-</v>
      </c>
      <c r="C93" s="105"/>
      <c r="D93" s="105"/>
      <c r="E93" s="105"/>
      <c r="F93" s="105"/>
    </row>
    <row r="94" spans="2:6" hidden="1" outlineLevel="1">
      <c r="B94" s="241" t="str">
        <f t="shared" si="2"/>
        <v>-</v>
      </c>
      <c r="C94" s="105"/>
      <c r="D94" s="105"/>
      <c r="E94" s="105"/>
      <c r="F94" s="105"/>
    </row>
    <row r="95" spans="2:6" hidden="1" outlineLevel="1">
      <c r="B95" s="241" t="str">
        <f t="shared" si="2"/>
        <v>-</v>
      </c>
      <c r="C95" s="105"/>
      <c r="D95" s="105"/>
      <c r="E95" s="105"/>
      <c r="F95" s="105"/>
    </row>
    <row r="96" spans="2:6" hidden="1" outlineLevel="1">
      <c r="B96" s="241" t="str">
        <f t="shared" si="2"/>
        <v>-</v>
      </c>
      <c r="C96" s="105"/>
      <c r="D96" s="105"/>
      <c r="E96" s="105"/>
      <c r="F96" s="105"/>
    </row>
    <row r="97" spans="1:6" hidden="1" outlineLevel="1">
      <c r="B97" s="241" t="str">
        <f t="shared" si="2"/>
        <v>-</v>
      </c>
      <c r="C97" s="105"/>
      <c r="D97" s="105"/>
      <c r="E97" s="105"/>
      <c r="F97" s="105"/>
    </row>
    <row r="98" spans="1:6" hidden="1" outlineLevel="1">
      <c r="B98" s="241" t="str">
        <f t="shared" si="2"/>
        <v>-</v>
      </c>
      <c r="C98" s="105"/>
      <c r="D98" s="105"/>
      <c r="E98" s="105"/>
      <c r="F98" s="105"/>
    </row>
    <row r="99" spans="1:6" hidden="1" outlineLevel="1">
      <c r="B99" s="241" t="str">
        <f t="shared" si="2"/>
        <v>-</v>
      </c>
      <c r="C99" s="105"/>
      <c r="D99" s="105"/>
      <c r="E99" s="105"/>
      <c r="F99" s="105"/>
    </row>
    <row r="100" spans="1:6" hidden="1" outlineLevel="1">
      <c r="B100" s="241" t="str">
        <f t="shared" si="2"/>
        <v>-</v>
      </c>
      <c r="C100" s="105"/>
      <c r="D100" s="105"/>
      <c r="E100" s="105"/>
      <c r="F100" s="105"/>
    </row>
    <row r="101" spans="1:6" hidden="1" outlineLevel="1">
      <c r="B101" s="241" t="str">
        <f t="shared" si="2"/>
        <v>-</v>
      </c>
      <c r="C101" s="105"/>
      <c r="D101" s="105"/>
      <c r="E101" s="105"/>
      <c r="F101" s="105"/>
    </row>
    <row r="102" spans="1:6" hidden="1" outlineLevel="1">
      <c r="B102" s="241" t="str">
        <f t="shared" si="2"/>
        <v>-</v>
      </c>
      <c r="C102" s="105"/>
      <c r="D102" s="105"/>
      <c r="E102" s="105"/>
      <c r="F102" s="105"/>
    </row>
    <row r="103" spans="1:6" hidden="1" outlineLevel="1">
      <c r="B103" s="241" t="str">
        <f t="shared" si="2"/>
        <v>-</v>
      </c>
      <c r="C103" s="105"/>
      <c r="D103" s="105"/>
      <c r="E103" s="105"/>
      <c r="F103" s="105"/>
    </row>
    <row r="104" spans="1:6" hidden="1" outlineLevel="1">
      <c r="B104" s="241" t="str">
        <f t="shared" si="2"/>
        <v>-</v>
      </c>
      <c r="C104" s="105"/>
      <c r="D104" s="105"/>
      <c r="E104" s="105"/>
      <c r="F104" s="105"/>
    </row>
    <row r="105" spans="1:6" hidden="1" outlineLevel="1">
      <c r="B105" s="241" t="str">
        <f t="shared" si="2"/>
        <v>-</v>
      </c>
      <c r="C105" s="105"/>
      <c r="D105" s="105"/>
      <c r="E105" s="105"/>
      <c r="F105" s="105"/>
    </row>
    <row r="106" spans="1:6" hidden="1" outlineLevel="1">
      <c r="B106" s="241" t="str">
        <f t="shared" si="2"/>
        <v>-</v>
      </c>
      <c r="C106" s="105"/>
      <c r="D106" s="105"/>
      <c r="E106" s="105"/>
      <c r="F106" s="105"/>
    </row>
    <row r="107" spans="1:6" hidden="1" outlineLevel="1">
      <c r="B107" s="241" t="str">
        <f t="shared" si="2"/>
        <v>-</v>
      </c>
      <c r="C107" s="105"/>
      <c r="D107" s="105"/>
      <c r="E107" s="105"/>
      <c r="F107" s="105"/>
    </row>
    <row r="108" spans="1:6" hidden="1" outlineLevel="1">
      <c r="B108" s="241" t="str">
        <f t="shared" si="2"/>
        <v>-</v>
      </c>
      <c r="C108" s="105"/>
      <c r="D108" s="105"/>
      <c r="E108" s="105"/>
      <c r="F108" s="105"/>
    </row>
    <row r="109" spans="1:6" collapsed="1">
      <c r="A109" s="3" t="s">
        <v>39</v>
      </c>
      <c r="B109" s="241">
        <f>COUNTIF(B9:B108,"&gt;0")</f>
        <v>0</v>
      </c>
    </row>
    <row r="111" spans="1:6">
      <c r="A111" s="3" t="s">
        <v>40</v>
      </c>
      <c r="B111" s="289">
        <f>IF(D3=A5,D5,B109)</f>
        <v>1</v>
      </c>
    </row>
  </sheetData>
  <dataValidations xWindow="743" yWindow="477" count="4">
    <dataValidation type="list" allowBlank="1" showInputMessage="1" showErrorMessage="1" sqref="C15:C108" xr:uid="{C42ECB6C-AC04-4FFC-A132-5866F4C6D9B6}">
      <formula1>"Yes, No"</formula1>
    </dataValidation>
    <dataValidation type="list" allowBlank="1" showInputMessage="1" showErrorMessage="1" prompt="Select Yes or No" sqref="C9:C14" xr:uid="{7B3BB2C3-62AB-44CD-AFF1-82FDA74D47A9}">
      <formula1>"Yes, No"</formula1>
    </dataValidation>
    <dataValidation type="list" allowBlank="1" showInputMessage="1" showErrorMessage="1" prompt="Select whether the tree will be planted in a hard or soft landscape" sqref="D6 F9:F108" xr:uid="{73542BCF-9E9C-455D-B850-D2A9EFC7AC5B}">
      <formula1>LandscapeTypes</formula1>
    </dataValidation>
    <dataValidation type="list" allowBlank="1" showInputMessage="1" showErrorMessage="1" prompt="Select which tree total to use" sqref="D3" xr:uid="{EB7ADD57-56DC-45DA-B9F9-A11378D738F9}">
      <formula1>StockType</formula1>
    </dataValidation>
  </dataValidations>
  <pageMargins left="0.7" right="0.7" top="0.75" bottom="0.75" header="0.3" footer="0.3"/>
  <extLst>
    <ext xmlns:x14="http://schemas.microsoft.com/office/spreadsheetml/2009/9/main" uri="{CCE6A557-97BC-4b89-ADB6-D9C93CAAB3DF}">
      <x14:dataValidations xmlns:xm="http://schemas.microsoft.com/office/excel/2006/main" xWindow="743" yWindow="477" count="2">
        <x14:dataValidation type="list" allowBlank="1" showInputMessage="1" showErrorMessage="1" prompt="Select tree size" xr:uid="{F8BA04B2-94C8-4ACC-885A-001FFF8FBE08}">
          <x14:formula1>
            <xm:f>'Model Tech'!$D$13:$D$18</xm:f>
          </x14:formula1>
          <xm:sqref>E9:E108</xm:sqref>
        </x14:dataValidation>
        <x14:dataValidation type="list" allowBlank="1" showInputMessage="1" showErrorMessage="1" prompt="Select tree species" xr:uid="{CE8CAC5F-3DB1-4BD8-93C5-AAFF8F9F9BAA}">
          <x14:formula1>
            <xm:f>'Model Tech'!$B$26:$B$162</xm:f>
          </x14:formula1>
          <xm:sqref>D9:D108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0F4BA-A104-4562-802A-D779DFBE01D3}">
  <sheetPr>
    <tabColor rgb="FF92D050"/>
  </sheetPr>
  <dimension ref="A1:Y29"/>
  <sheetViews>
    <sheetView showGridLines="0" zoomScale="80" zoomScaleNormal="80" workbookViewId="0"/>
  </sheetViews>
  <sheetFormatPr defaultRowHeight="14.45"/>
  <cols>
    <col min="2" max="2" width="55.140625" bestFit="1" customWidth="1"/>
    <col min="3" max="3" width="17.42578125" customWidth="1"/>
    <col min="4" max="4" width="16.85546875" customWidth="1"/>
    <col min="5" max="5" width="36.85546875" customWidth="1"/>
    <col min="6" max="6" width="24.85546875" customWidth="1"/>
    <col min="7" max="7" width="9.140625" bestFit="1" customWidth="1"/>
    <col min="8" max="8" width="8.28515625" bestFit="1" customWidth="1"/>
    <col min="9" max="9" width="30.42578125" bestFit="1" customWidth="1"/>
    <col min="12" max="12" width="13.140625" bestFit="1" customWidth="1"/>
  </cols>
  <sheetData>
    <row r="1" spans="1:25" s="106" customFormat="1" ht="25.5" thickBot="1">
      <c r="A1" s="67" t="s">
        <v>41</v>
      </c>
      <c r="B1" s="67"/>
      <c r="C1" s="62"/>
      <c r="D1" s="62"/>
      <c r="E1" s="62"/>
      <c r="F1" s="62"/>
      <c r="G1" s="62"/>
      <c r="H1" s="62"/>
      <c r="I1" s="62"/>
      <c r="J1" s="62"/>
      <c r="K1" s="62"/>
      <c r="L1" s="62"/>
      <c r="M1" s="62"/>
      <c r="N1" s="62"/>
      <c r="O1" s="62"/>
      <c r="P1" s="62"/>
      <c r="Q1" s="62"/>
      <c r="R1" s="62"/>
      <c r="S1" s="62"/>
      <c r="T1" s="62"/>
      <c r="U1" s="62"/>
      <c r="V1" s="62"/>
      <c r="W1" s="62"/>
      <c r="X1" s="62"/>
      <c r="Y1" s="62"/>
    </row>
    <row r="3" spans="1:25">
      <c r="B3" s="19" t="s">
        <v>42</v>
      </c>
      <c r="C3" s="25" t="s">
        <v>43</v>
      </c>
      <c r="D3" s="22" t="s">
        <v>44</v>
      </c>
    </row>
    <row r="4" spans="1:25">
      <c r="B4" s="118" t="s">
        <v>45</v>
      </c>
      <c r="C4" s="204">
        <v>2025</v>
      </c>
    </row>
    <row r="5" spans="1:25">
      <c r="B5" s="118" t="s">
        <v>46</v>
      </c>
      <c r="C5" s="241">
        <f>C4+30</f>
        <v>2055</v>
      </c>
      <c r="D5" s="22" t="s">
        <v>47</v>
      </c>
    </row>
    <row r="6" spans="1:25">
      <c r="B6" s="118" t="s">
        <v>48</v>
      </c>
      <c r="C6" s="105" t="s">
        <v>49</v>
      </c>
    </row>
    <row r="7" spans="1:25">
      <c r="B7" s="118" t="s">
        <v>50</v>
      </c>
      <c r="C7" s="205">
        <v>2.5000000000000001E-2</v>
      </c>
    </row>
    <row r="8" spans="1:25">
      <c r="B8" s="118" t="s">
        <v>51</v>
      </c>
      <c r="C8" s="205">
        <v>0</v>
      </c>
    </row>
    <row r="9" spans="1:25">
      <c r="B9" s="218" t="s">
        <v>52</v>
      </c>
      <c r="C9" s="228">
        <v>0</v>
      </c>
    </row>
    <row r="10" spans="1:25">
      <c r="B10" s="218" t="s">
        <v>53</v>
      </c>
      <c r="C10" s="228">
        <v>0</v>
      </c>
      <c r="D10" s="22" t="s">
        <v>54</v>
      </c>
    </row>
    <row r="12" spans="1:25">
      <c r="B12" s="19" t="s">
        <v>55</v>
      </c>
      <c r="C12" s="219" t="s">
        <v>56</v>
      </c>
    </row>
    <row r="14" spans="1:25">
      <c r="B14" s="19" t="s">
        <v>57</v>
      </c>
      <c r="C14" s="25" t="s">
        <v>43</v>
      </c>
    </row>
    <row r="15" spans="1:25">
      <c r="B15" s="118" t="s">
        <v>58</v>
      </c>
      <c r="C15" s="241">
        <f>'Inputs - List of Trees'!B111</f>
        <v>1</v>
      </c>
      <c r="D15" s="22" t="s">
        <v>59</v>
      </c>
    </row>
    <row r="17" spans="2:12">
      <c r="C17" s="319"/>
      <c r="D17" s="318" t="s">
        <v>56</v>
      </c>
      <c r="E17" s="318" t="s">
        <v>60</v>
      </c>
      <c r="F17" s="19" t="s">
        <v>61</v>
      </c>
      <c r="G17" s="19" t="s">
        <v>62</v>
      </c>
      <c r="H17" s="19" t="s">
        <v>63</v>
      </c>
      <c r="I17" s="22" t="s">
        <v>44</v>
      </c>
    </row>
    <row r="18" spans="2:12">
      <c r="B18" s="101" t="s">
        <v>64</v>
      </c>
      <c r="C18" s="320" t="s">
        <v>65</v>
      </c>
      <c r="D18" s="320" t="s">
        <v>66</v>
      </c>
      <c r="E18" s="19" t="s">
        <v>67</v>
      </c>
      <c r="F18" s="19" t="s">
        <v>68</v>
      </c>
      <c r="G18" s="400" t="s">
        <v>65</v>
      </c>
      <c r="H18" s="401"/>
    </row>
    <row r="19" spans="2:12" s="235" customFormat="1" ht="43.5">
      <c r="B19" s="236" t="s">
        <v>69</v>
      </c>
      <c r="C19" s="237" t="s">
        <v>70</v>
      </c>
      <c r="D19" s="237" t="s">
        <v>71</v>
      </c>
      <c r="E19" s="237" t="s">
        <v>72</v>
      </c>
      <c r="F19" s="237" t="s">
        <v>73</v>
      </c>
      <c r="G19" s="398" t="s">
        <v>74</v>
      </c>
      <c r="H19" s="399"/>
      <c r="L19"/>
    </row>
    <row r="20" spans="2:12">
      <c r="B20" s="218" t="s">
        <v>75</v>
      </c>
      <c r="C20" s="227"/>
      <c r="D20" s="221">
        <f>IF($C$12=$D$17,C20*$C$15,0)</f>
        <v>0</v>
      </c>
      <c r="E20" s="221">
        <f>-IF($C$12=$E$17,'Option 2 - Cashflow'!H41,0)</f>
        <v>0</v>
      </c>
      <c r="F20" s="221">
        <f>-IF(C12=F17,'Option 3 - Cashflow'!H21,0)</f>
        <v>0</v>
      </c>
      <c r="G20" s="260">
        <f>C4</f>
        <v>2025</v>
      </c>
      <c r="H20" s="260">
        <f>C4</f>
        <v>2025</v>
      </c>
      <c r="I20" s="22" t="s">
        <v>76</v>
      </c>
    </row>
    <row r="21" spans="2:12">
      <c r="B21" s="9" t="s">
        <v>77</v>
      </c>
      <c r="C21" s="227"/>
      <c r="D21" s="221">
        <f>IF($C$12=$D$17,(C21*$C$15),0)</f>
        <v>0</v>
      </c>
      <c r="E21" s="221">
        <f>-IF($C$12=$E$17,'Option 2 - Cashflow'!H53,0)</f>
        <v>0</v>
      </c>
      <c r="F21" s="221">
        <f>-IF($C$12=$F$17,'Option 3 - Cashflow'!H43,0)</f>
        <v>0</v>
      </c>
      <c r="G21" s="260">
        <f>C4</f>
        <v>2025</v>
      </c>
      <c r="H21" s="260">
        <f>C4</f>
        <v>2025</v>
      </c>
      <c r="I21" s="22" t="s">
        <v>76</v>
      </c>
    </row>
    <row r="22" spans="2:12">
      <c r="B22" s="9" t="s">
        <v>78</v>
      </c>
      <c r="C22" s="227"/>
      <c r="D22" s="221">
        <f>IF($C$12=$D$17,C22*$C$15,0)</f>
        <v>0</v>
      </c>
      <c r="E22" s="221">
        <f>-IF($C$12=$E$17,'Option 2 - Cashflow'!H117,0)</f>
        <v>0</v>
      </c>
      <c r="F22" s="221">
        <f>-IF($C$12=$F$17,'Option 3 - Cashflow'!H61,0)</f>
        <v>0</v>
      </c>
      <c r="G22" s="260">
        <f>C4+1</f>
        <v>2026</v>
      </c>
      <c r="H22" s="260">
        <f>C4+1</f>
        <v>2026</v>
      </c>
      <c r="I22" s="22" t="s">
        <v>79</v>
      </c>
    </row>
    <row r="23" spans="2:12">
      <c r="B23" s="9" t="s">
        <v>80</v>
      </c>
      <c r="C23" s="227"/>
      <c r="D23" s="221">
        <f>IF($C$12=$D$17,((C23*$C$15)),0)</f>
        <v>0</v>
      </c>
      <c r="E23" s="221">
        <f>-IF($C$12=$E$17,'Option 2 - Cashflow'!H348,0)</f>
        <v>0</v>
      </c>
      <c r="F23" s="221">
        <f>-IF($C$12=$F$17,'Option 3 - Cashflow'!H73,0)</f>
        <v>0</v>
      </c>
      <c r="G23" s="204">
        <v>2025</v>
      </c>
      <c r="H23" s="204">
        <v>2035</v>
      </c>
      <c r="I23" s="22" t="s">
        <v>81</v>
      </c>
    </row>
    <row r="24" spans="2:12">
      <c r="B24" s="9" t="s">
        <v>82</v>
      </c>
      <c r="C24" s="227"/>
      <c r="D24" s="221">
        <f>IF($C$12=$D$17,((C24*$C$15)),0)</f>
        <v>0</v>
      </c>
      <c r="E24" s="221">
        <f>-IF($C$12=$E$17,'Option 2 - Cashflow'!H358,0)</f>
        <v>0</v>
      </c>
      <c r="F24" s="221">
        <f>-IF($C$12=$F$17,'Option 3 - Cashflow'!H95,0)</f>
        <v>0</v>
      </c>
      <c r="G24" s="204">
        <v>2028</v>
      </c>
      <c r="H24" s="260">
        <f>C5</f>
        <v>2055</v>
      </c>
      <c r="I24" s="22" t="s">
        <v>83</v>
      </c>
    </row>
    <row r="25" spans="2:12" ht="15" thickBot="1">
      <c r="B25" s="9" t="s">
        <v>84</v>
      </c>
      <c r="C25" s="227"/>
      <c r="D25" s="309">
        <f>IF($C$12=$D$17,(C25*$C$15),0)</f>
        <v>0</v>
      </c>
      <c r="E25" s="309">
        <f>-IF($C$12=$E$17,'Option 2 - Cashflow'!H369,0)</f>
        <v>0</v>
      </c>
      <c r="F25" s="238">
        <v>0</v>
      </c>
      <c r="G25" s="204">
        <v>2025</v>
      </c>
      <c r="H25" s="204">
        <v>2030</v>
      </c>
      <c r="I25" s="22" t="s">
        <v>85</v>
      </c>
    </row>
    <row r="26" spans="2:12" ht="13.5" customHeight="1">
      <c r="B26" s="321" t="s">
        <v>86</v>
      </c>
      <c r="C26" s="395">
        <f>IF(C12=D17,SUM(C20:C25),0)</f>
        <v>0</v>
      </c>
      <c r="D26" s="354">
        <f>-(IF($D$17=$C$12,SUM('Option 1 - Cashflow'!H13:H18),0))</f>
        <v>0</v>
      </c>
      <c r="E26" s="310">
        <f>IF(C12=E17,SUM(E20:E25),0)</f>
        <v>0</v>
      </c>
      <c r="F26" s="311">
        <f>IF(C12=F17,SUM(F20:F25),0)</f>
        <v>0</v>
      </c>
    </row>
    <row r="27" spans="2:12" ht="13.5" customHeight="1">
      <c r="B27" s="321" t="s">
        <v>87</v>
      </c>
      <c r="C27" s="350"/>
      <c r="D27" s="355">
        <f>IF(C12=D17,'Option 1 - Cashflow'!C9,0)</f>
        <v>0</v>
      </c>
      <c r="E27" s="309">
        <f>IF(C12=E17,'Input - Option 2 Detailed Input'!F52,0)</f>
        <v>0</v>
      </c>
      <c r="F27" s="351">
        <f>IF(C12=F17,'Option 3 - Cashflow'!H42,0)</f>
        <v>0</v>
      </c>
    </row>
    <row r="28" spans="2:12" ht="15" thickBot="1">
      <c r="B28" s="321" t="s">
        <v>88</v>
      </c>
      <c r="D28" s="356">
        <f>-IF(C12=D17,'Option 1 - Cashflow'!H20,0)</f>
        <v>0</v>
      </c>
      <c r="E28" s="312">
        <f>IF(C12=E17,E26+#REF!+#REF!,0)</f>
        <v>0</v>
      </c>
      <c r="F28" s="313">
        <f>-IF(C12=F17,'Option 3 - Cashflow'!H104,0)</f>
        <v>0</v>
      </c>
    </row>
    <row r="29" spans="2:12">
      <c r="F29" s="263"/>
    </row>
  </sheetData>
  <mergeCells count="2">
    <mergeCell ref="G19:H19"/>
    <mergeCell ref="G18:H18"/>
  </mergeCells>
  <dataValidations count="2">
    <dataValidation type="list" allowBlank="1" showInputMessage="1" showErrorMessage="1" sqref="C6" xr:uid="{BF92A447-B204-40D4-AC69-3775287BF26A}">
      <formula1>YesNo</formula1>
    </dataValidation>
    <dataValidation type="list" allowBlank="1" showInputMessage="1" showErrorMessage="1" sqref="C12" xr:uid="{82A8E132-1C61-41E1-A61E-E29DB6358D11}">
      <formula1>"Option 1, Option 2, Option 3"</formula1>
    </dataValidation>
  </dataValidations>
  <pageMargins left="0.7" right="0.7" top="0.75" bottom="0.75" header="0.3" footer="0.3"/>
  <ignoredErrors>
    <ignoredError sqref="D2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936CB-00F5-4C72-9B0F-858DB99BA2DB}">
  <sheetPr codeName="Sheet2">
    <tabColor rgb="FF92D050"/>
  </sheetPr>
  <dimension ref="A1:Z395"/>
  <sheetViews>
    <sheetView showGridLines="0" zoomScale="70" zoomScaleNormal="70" workbookViewId="0"/>
  </sheetViews>
  <sheetFormatPr defaultColWidth="0" defaultRowHeight="14.45" outlineLevelRow="2"/>
  <cols>
    <col min="1" max="1" width="5" style="106" bestFit="1" customWidth="1"/>
    <col min="2" max="2" width="16.140625" style="106" customWidth="1"/>
    <col min="3" max="3" width="79.85546875" style="106" customWidth="1"/>
    <col min="4" max="4" width="53.85546875" style="106" customWidth="1"/>
    <col min="5" max="5" width="26.5703125" style="106" customWidth="1"/>
    <col min="6" max="6" width="48.42578125" style="106" customWidth="1"/>
    <col min="7" max="7" width="63.140625" style="106" bestFit="1" customWidth="1"/>
    <col min="8" max="13" width="29.42578125" style="106" customWidth="1"/>
    <col min="14" max="14" width="8.85546875" style="106" customWidth="1"/>
    <col min="15" max="15" width="10.140625" style="106" customWidth="1"/>
    <col min="16" max="16" width="11.140625" style="106" customWidth="1"/>
    <col min="17" max="17" width="8.85546875" style="106" customWidth="1"/>
    <col min="18" max="18" width="11.85546875" style="106" customWidth="1"/>
    <col min="19" max="25" width="8.85546875" style="106" customWidth="1"/>
    <col min="26" max="26" width="0" style="106" hidden="1" customWidth="1"/>
    <col min="27" max="16384" width="8.85546875" style="106" hidden="1"/>
  </cols>
  <sheetData>
    <row r="1" spans="1:25" ht="25.5" thickBot="1">
      <c r="A1" s="67" t="s">
        <v>89</v>
      </c>
      <c r="B1" s="67"/>
      <c r="C1" s="62"/>
      <c r="D1" s="62"/>
      <c r="E1" s="62"/>
      <c r="F1" s="62"/>
      <c r="G1" s="62"/>
      <c r="H1" s="62"/>
      <c r="I1" s="62"/>
      <c r="J1" s="62"/>
      <c r="K1" s="62"/>
      <c r="L1" s="62"/>
      <c r="M1" s="62"/>
      <c r="N1" s="62"/>
      <c r="O1" s="62"/>
      <c r="P1" s="62"/>
      <c r="Q1" s="62"/>
      <c r="R1" s="62"/>
      <c r="S1" s="62"/>
      <c r="T1" s="62"/>
      <c r="U1" s="62"/>
      <c r="V1" s="62"/>
      <c r="W1" s="62"/>
      <c r="X1" s="62"/>
      <c r="Y1" s="62"/>
    </row>
    <row r="3" spans="1:25">
      <c r="C3" s="3" t="str">
        <f>'Inputs - List of Trees'!A111</f>
        <v>Total number of trees</v>
      </c>
      <c r="D3" s="289">
        <f>'Inputs - List of Trees'!B111</f>
        <v>1</v>
      </c>
    </row>
    <row r="4" spans="1:25">
      <c r="H4"/>
      <c r="I4"/>
    </row>
    <row r="5" spans="1:25" ht="26.1">
      <c r="C5" s="164" t="s">
        <v>90</v>
      </c>
      <c r="D5" s="21"/>
      <c r="E5" s="21"/>
      <c r="F5" s="21"/>
      <c r="G5" s="21"/>
      <c r="H5" s="21"/>
      <c r="I5" s="21"/>
      <c r="J5" s="21"/>
      <c r="K5" s="21"/>
      <c r="L5" s="21"/>
      <c r="M5" s="21"/>
      <c r="N5" s="21"/>
      <c r="O5" s="21"/>
      <c r="P5" s="21"/>
      <c r="Q5" s="21"/>
      <c r="R5" s="21"/>
      <c r="S5" s="21"/>
      <c r="T5" s="21"/>
      <c r="U5" s="21"/>
      <c r="V5" s="21"/>
      <c r="W5" s="21"/>
      <c r="X5" s="21"/>
      <c r="Y5" s="21"/>
    </row>
    <row r="6" spans="1:25" ht="15" hidden="1" outlineLevel="1" thickBot="1"/>
    <row r="7" spans="1:25" ht="61.35" hidden="1" customHeight="1" outlineLevel="1" thickBot="1">
      <c r="C7" s="419" t="s">
        <v>91</v>
      </c>
      <c r="D7" s="420"/>
      <c r="E7" s="421"/>
    </row>
    <row r="8" spans="1:25" ht="134.1" hidden="1" customHeight="1" outlineLevel="1" thickBot="1">
      <c r="C8" s="416" t="s">
        <v>92</v>
      </c>
      <c r="D8" s="417"/>
      <c r="E8" s="418"/>
    </row>
    <row r="9" spans="1:25" hidden="1" outlineLevel="1"/>
    <row r="10" spans="1:25" hidden="1" outlineLevel="1">
      <c r="C10" s="144" t="s">
        <v>93</v>
      </c>
      <c r="D10" s="25" t="s">
        <v>94</v>
      </c>
      <c r="E10" s="25" t="s">
        <v>95</v>
      </c>
    </row>
    <row r="11" spans="1:25" hidden="1" outlineLevel="1">
      <c r="C11" s="20" t="s">
        <v>96</v>
      </c>
      <c r="D11" s="37">
        <f>'Input - General and Overview'!G20</f>
        <v>2025</v>
      </c>
      <c r="E11" s="37">
        <f>'Input - General and Overview'!H20</f>
        <v>2025</v>
      </c>
    </row>
    <row r="12" spans="1:25" hidden="1" outlineLevel="1"/>
    <row r="13" spans="1:25" ht="29.1" hidden="1" customHeight="1" outlineLevel="1">
      <c r="B13" s="27" t="s">
        <v>97</v>
      </c>
      <c r="C13" s="24" t="s">
        <v>98</v>
      </c>
      <c r="D13" s="27" t="s">
        <v>99</v>
      </c>
      <c r="E13" s="27" t="s">
        <v>100</v>
      </c>
      <c r="F13" s="25" t="s">
        <v>101</v>
      </c>
      <c r="G13" s="25" t="s">
        <v>102</v>
      </c>
      <c r="H13" s="25" t="s">
        <v>103</v>
      </c>
      <c r="I13" s="25" t="s">
        <v>104</v>
      </c>
    </row>
    <row r="14" spans="1:25" hidden="1" outlineLevel="1">
      <c r="B14" s="429" t="s">
        <v>105</v>
      </c>
      <c r="C14" s="20" t="s">
        <v>106</v>
      </c>
      <c r="D14" s="145" t="s">
        <v>107</v>
      </c>
      <c r="E14" s="105"/>
      <c r="F14" s="107"/>
      <c r="G14" s="165">
        <v>0</v>
      </c>
      <c r="H14" s="166">
        <v>0</v>
      </c>
      <c r="I14" s="30">
        <f>IF(E14=Yes,(G14*H14),0)</f>
        <v>0</v>
      </c>
    </row>
    <row r="15" spans="1:25" hidden="1" outlineLevel="1">
      <c r="B15" s="429"/>
      <c r="C15" s="20" t="s">
        <v>108</v>
      </c>
      <c r="D15" s="145" t="s">
        <v>107</v>
      </c>
      <c r="E15" s="105"/>
      <c r="F15" s="107"/>
      <c r="G15" s="165">
        <v>0</v>
      </c>
      <c r="H15" s="166">
        <v>0</v>
      </c>
      <c r="I15" s="30">
        <f t="shared" ref="I15:I27" si="0">IF(E15=Yes,(G15*H15),0)</f>
        <v>0</v>
      </c>
    </row>
    <row r="16" spans="1:25" hidden="1" outlineLevel="1">
      <c r="B16" s="429"/>
      <c r="C16" s="20" t="s">
        <v>109</v>
      </c>
      <c r="D16" s="145" t="s">
        <v>107</v>
      </c>
      <c r="E16" s="105"/>
      <c r="F16" s="107"/>
      <c r="G16" s="165">
        <v>0</v>
      </c>
      <c r="H16" s="166">
        <v>0</v>
      </c>
      <c r="I16" s="30">
        <f t="shared" si="0"/>
        <v>0</v>
      </c>
    </row>
    <row r="17" spans="2:9" hidden="1" outlineLevel="1">
      <c r="B17" s="429"/>
      <c r="C17" s="20" t="s">
        <v>110</v>
      </c>
      <c r="D17" s="145" t="s">
        <v>107</v>
      </c>
      <c r="E17" s="105"/>
      <c r="F17" s="107"/>
      <c r="G17" s="165">
        <v>0</v>
      </c>
      <c r="H17" s="166">
        <v>0</v>
      </c>
      <c r="I17" s="30">
        <f t="shared" si="0"/>
        <v>0</v>
      </c>
    </row>
    <row r="18" spans="2:9" hidden="1" outlineLevel="1">
      <c r="B18" s="429"/>
      <c r="C18" s="20" t="s">
        <v>111</v>
      </c>
      <c r="D18" s="145" t="s">
        <v>107</v>
      </c>
      <c r="E18" s="105"/>
      <c r="F18" s="107"/>
      <c r="G18" s="165">
        <v>0</v>
      </c>
      <c r="H18" s="166">
        <v>0</v>
      </c>
      <c r="I18" s="30">
        <f t="shared" si="0"/>
        <v>0</v>
      </c>
    </row>
    <row r="19" spans="2:9" hidden="1" outlineLevel="1">
      <c r="B19" s="429"/>
      <c r="C19" s="120" t="s">
        <v>112</v>
      </c>
      <c r="D19" s="145" t="s">
        <v>107</v>
      </c>
      <c r="E19" s="105"/>
      <c r="F19" s="107"/>
      <c r="G19" s="165">
        <v>0</v>
      </c>
      <c r="H19" s="166">
        <v>0</v>
      </c>
      <c r="I19" s="30">
        <f>IF(E19=Yes,(G19*H19),0)</f>
        <v>0</v>
      </c>
    </row>
    <row r="20" spans="2:9" hidden="1" outlineLevel="1">
      <c r="B20" s="429" t="s">
        <v>113</v>
      </c>
      <c r="C20" s="20" t="s">
        <v>114</v>
      </c>
      <c r="D20" s="145" t="s">
        <v>107</v>
      </c>
      <c r="E20" s="105"/>
      <c r="F20" s="107"/>
      <c r="G20" s="165">
        <v>0</v>
      </c>
      <c r="H20" s="166">
        <v>0</v>
      </c>
      <c r="I20" s="30">
        <f t="shared" si="0"/>
        <v>0</v>
      </c>
    </row>
    <row r="21" spans="2:9" hidden="1" outlineLevel="1">
      <c r="B21" s="429"/>
      <c r="C21" s="20" t="s">
        <v>115</v>
      </c>
      <c r="D21" s="145" t="s">
        <v>107</v>
      </c>
      <c r="E21" s="105"/>
      <c r="F21" s="107"/>
      <c r="G21" s="165">
        <v>0</v>
      </c>
      <c r="H21" s="166">
        <v>0</v>
      </c>
      <c r="I21" s="30">
        <f t="shared" si="0"/>
        <v>0</v>
      </c>
    </row>
    <row r="22" spans="2:9" hidden="1" outlineLevel="1">
      <c r="B22" s="429"/>
      <c r="C22" s="20" t="s">
        <v>116</v>
      </c>
      <c r="D22" s="145" t="s">
        <v>107</v>
      </c>
      <c r="E22" s="105"/>
      <c r="F22" s="107"/>
      <c r="G22" s="165">
        <v>0</v>
      </c>
      <c r="H22" s="166">
        <v>0</v>
      </c>
      <c r="I22" s="30">
        <f>IF(E22=Yes,(G22*H22),0)</f>
        <v>0</v>
      </c>
    </row>
    <row r="23" spans="2:9" hidden="1" outlineLevel="1">
      <c r="B23" s="429"/>
      <c r="C23" s="120" t="s">
        <v>112</v>
      </c>
      <c r="D23" s="145" t="s">
        <v>107</v>
      </c>
      <c r="E23" s="105"/>
      <c r="F23" s="107"/>
      <c r="G23" s="165">
        <v>0</v>
      </c>
      <c r="H23" s="166">
        <v>0</v>
      </c>
      <c r="I23" s="30">
        <f t="shared" si="0"/>
        <v>0</v>
      </c>
    </row>
    <row r="24" spans="2:9" ht="14.45" hidden="1" customHeight="1" outlineLevel="1">
      <c r="B24" s="429" t="s">
        <v>117</v>
      </c>
      <c r="C24" s="20" t="s">
        <v>118</v>
      </c>
      <c r="D24" s="145" t="s">
        <v>107</v>
      </c>
      <c r="E24" s="105"/>
      <c r="F24" s="107"/>
      <c r="G24" s="165">
        <v>0</v>
      </c>
      <c r="H24" s="166">
        <v>0</v>
      </c>
      <c r="I24" s="30">
        <f t="shared" si="0"/>
        <v>0</v>
      </c>
    </row>
    <row r="25" spans="2:9" hidden="1" outlineLevel="1">
      <c r="B25" s="429"/>
      <c r="C25" s="20" t="s">
        <v>119</v>
      </c>
      <c r="D25" s="145" t="s">
        <v>107</v>
      </c>
      <c r="E25" s="105"/>
      <c r="F25" s="107"/>
      <c r="G25" s="165">
        <v>0</v>
      </c>
      <c r="H25" s="166">
        <v>0</v>
      </c>
      <c r="I25" s="30">
        <f t="shared" si="0"/>
        <v>0</v>
      </c>
    </row>
    <row r="26" spans="2:9" hidden="1" outlineLevel="1">
      <c r="B26" s="429"/>
      <c r="C26" s="20" t="s">
        <v>120</v>
      </c>
      <c r="D26" s="145" t="s">
        <v>107</v>
      </c>
      <c r="E26" s="105"/>
      <c r="F26" s="107"/>
      <c r="G26" s="165">
        <v>0</v>
      </c>
      <c r="H26" s="166">
        <v>0</v>
      </c>
      <c r="I26" s="30">
        <f t="shared" si="0"/>
        <v>0</v>
      </c>
    </row>
    <row r="27" spans="2:9" hidden="1" outlineLevel="1">
      <c r="B27" s="429"/>
      <c r="C27" s="20" t="s">
        <v>121</v>
      </c>
      <c r="D27" s="145" t="s">
        <v>107</v>
      </c>
      <c r="E27" s="105"/>
      <c r="F27" s="107"/>
      <c r="G27" s="165">
        <v>0</v>
      </c>
      <c r="H27" s="166">
        <v>0</v>
      </c>
      <c r="I27" s="30">
        <f t="shared" si="0"/>
        <v>0</v>
      </c>
    </row>
    <row r="28" spans="2:9" hidden="1" outlineLevel="1">
      <c r="B28" s="429"/>
      <c r="C28" s="120" t="s">
        <v>112</v>
      </c>
      <c r="D28" s="145" t="s">
        <v>107</v>
      </c>
      <c r="E28" s="105"/>
      <c r="F28" s="107"/>
      <c r="G28" s="165">
        <v>0</v>
      </c>
      <c r="H28" s="166">
        <v>0</v>
      </c>
      <c r="I28" s="30">
        <f>IF(E28=Yes,(G28*H28),0)</f>
        <v>0</v>
      </c>
    </row>
    <row r="29" spans="2:9" hidden="1" outlineLevel="1"/>
    <row r="30" spans="2:9" hidden="1" outlineLevel="1">
      <c r="C30" s="24" t="s">
        <v>122</v>
      </c>
      <c r="D30" s="27" t="s">
        <v>99</v>
      </c>
      <c r="E30" s="25" t="s">
        <v>123</v>
      </c>
      <c r="F30" s="25" t="s">
        <v>104</v>
      </c>
      <c r="G30"/>
    </row>
    <row r="31" spans="2:9" hidden="1" outlineLevel="1">
      <c r="C31" s="199" t="s">
        <v>124</v>
      </c>
      <c r="D31" s="93" t="s">
        <v>125</v>
      </c>
      <c r="E31" s="108">
        <v>0</v>
      </c>
      <c r="F31" s="30">
        <f t="shared" ref="F31:F40" si="1">E31</f>
        <v>0</v>
      </c>
      <c r="G31"/>
    </row>
    <row r="32" spans="2:9" hidden="1" outlineLevel="1">
      <c r="C32" s="199" t="s">
        <v>126</v>
      </c>
      <c r="D32" s="93" t="s">
        <v>125</v>
      </c>
      <c r="E32" s="108">
        <v>0</v>
      </c>
      <c r="F32" s="30">
        <f t="shared" si="1"/>
        <v>0</v>
      </c>
      <c r="G32"/>
    </row>
    <row r="33" spans="3:25" hidden="1" outlineLevel="1">
      <c r="C33" s="199" t="s">
        <v>127</v>
      </c>
      <c r="D33" s="93" t="s">
        <v>125</v>
      </c>
      <c r="E33" s="108">
        <v>0</v>
      </c>
      <c r="F33" s="30">
        <f t="shared" si="1"/>
        <v>0</v>
      </c>
      <c r="G33"/>
    </row>
    <row r="34" spans="3:25" hidden="1" outlineLevel="1">
      <c r="C34" s="199" t="s">
        <v>128</v>
      </c>
      <c r="D34" s="93" t="s">
        <v>125</v>
      </c>
      <c r="E34" s="108">
        <v>0</v>
      </c>
      <c r="F34" s="30">
        <f t="shared" si="1"/>
        <v>0</v>
      </c>
      <c r="G34"/>
    </row>
    <row r="35" spans="3:25" hidden="1" outlineLevel="1">
      <c r="C35" s="199" t="s">
        <v>129</v>
      </c>
      <c r="D35" s="93" t="s">
        <v>125</v>
      </c>
      <c r="E35" s="108">
        <v>0</v>
      </c>
      <c r="F35" s="30">
        <f t="shared" si="1"/>
        <v>0</v>
      </c>
      <c r="G35"/>
    </row>
    <row r="36" spans="3:25" hidden="1" outlineLevel="1">
      <c r="C36" s="199" t="s">
        <v>130</v>
      </c>
      <c r="D36" s="93" t="s">
        <v>125</v>
      </c>
      <c r="E36" s="108">
        <v>0</v>
      </c>
      <c r="F36" s="30">
        <f t="shared" si="1"/>
        <v>0</v>
      </c>
      <c r="G36"/>
    </row>
    <row r="37" spans="3:25" hidden="1" outlineLevel="1">
      <c r="C37" s="199" t="s">
        <v>131</v>
      </c>
      <c r="D37" s="93" t="s">
        <v>125</v>
      </c>
      <c r="E37" s="108">
        <v>0</v>
      </c>
      <c r="F37" s="30">
        <f t="shared" si="1"/>
        <v>0</v>
      </c>
      <c r="G37"/>
    </row>
    <row r="38" spans="3:25" hidden="1" outlineLevel="1">
      <c r="C38" s="199" t="s">
        <v>132</v>
      </c>
      <c r="D38" s="93" t="s">
        <v>125</v>
      </c>
      <c r="E38" s="108">
        <v>0</v>
      </c>
      <c r="F38" s="30">
        <f t="shared" si="1"/>
        <v>0</v>
      </c>
      <c r="G38"/>
    </row>
    <row r="39" spans="3:25" hidden="1" outlineLevel="1">
      <c r="C39" s="199" t="s">
        <v>133</v>
      </c>
      <c r="D39" s="93" t="s">
        <v>125</v>
      </c>
      <c r="E39" s="108">
        <v>0</v>
      </c>
      <c r="F39" s="30">
        <f t="shared" si="1"/>
        <v>0</v>
      </c>
      <c r="G39"/>
    </row>
    <row r="40" spans="3:25" hidden="1" outlineLevel="1">
      <c r="C40" s="199" t="s">
        <v>134</v>
      </c>
      <c r="D40" s="93" t="s">
        <v>125</v>
      </c>
      <c r="E40" s="108">
        <v>0</v>
      </c>
      <c r="F40" s="30">
        <f t="shared" si="1"/>
        <v>0</v>
      </c>
      <c r="G40"/>
    </row>
    <row r="41" spans="3:25" collapsed="1">
      <c r="D41" s="111"/>
    </row>
    <row r="42" spans="3:25" ht="26.1">
      <c r="C42" s="164" t="s">
        <v>135</v>
      </c>
      <c r="D42" s="21"/>
      <c r="E42" s="21"/>
      <c r="F42" s="21"/>
      <c r="G42" s="21"/>
      <c r="H42" s="21"/>
      <c r="I42" s="21"/>
      <c r="J42" s="21"/>
      <c r="K42" s="21"/>
      <c r="L42" s="21"/>
      <c r="M42" s="21"/>
      <c r="N42" s="21"/>
      <c r="O42" s="21"/>
      <c r="P42" s="21"/>
      <c r="Q42" s="21"/>
      <c r="R42" s="21"/>
      <c r="S42" s="21"/>
      <c r="T42" s="21"/>
      <c r="U42" s="21"/>
      <c r="V42" s="21"/>
      <c r="W42" s="21"/>
      <c r="X42" s="21"/>
      <c r="Y42" s="21"/>
    </row>
    <row r="43" spans="3:25" ht="15" hidden="1" outlineLevel="1" thickBot="1">
      <c r="D43" s="111"/>
    </row>
    <row r="44" spans="3:25" ht="70.5" hidden="1" customHeight="1" outlineLevel="1">
      <c r="C44" s="422" t="s">
        <v>136</v>
      </c>
      <c r="D44" s="423"/>
      <c r="E44" s="424"/>
    </row>
    <row r="45" spans="3:25" ht="61.5" hidden="1" customHeight="1" outlineLevel="1" thickBot="1">
      <c r="C45" s="416" t="s">
        <v>137</v>
      </c>
      <c r="D45" s="417"/>
      <c r="E45" s="418"/>
    </row>
    <row r="46" spans="3:25" hidden="1" outlineLevel="1">
      <c r="C46" s="121"/>
      <c r="D46" s="111"/>
    </row>
    <row r="47" spans="3:25" hidden="1" outlineLevel="1">
      <c r="C47" s="144" t="s">
        <v>138</v>
      </c>
      <c r="D47" s="25" t="s">
        <v>139</v>
      </c>
      <c r="E47" s="25" t="s">
        <v>140</v>
      </c>
    </row>
    <row r="48" spans="3:25" hidden="1" outlineLevel="1">
      <c r="C48" s="20" t="s">
        <v>141</v>
      </c>
      <c r="D48" s="37">
        <f>'Input - General and Overview'!G21</f>
        <v>2025</v>
      </c>
      <c r="E48" s="37">
        <f>'Input - General and Overview'!H21</f>
        <v>2025</v>
      </c>
      <c r="F48" s="121"/>
    </row>
    <row r="49" spans="3:25" hidden="1" outlineLevel="1"/>
    <row r="50" spans="3:25" hidden="1" outlineLevel="1">
      <c r="C50" s="31" t="s">
        <v>142</v>
      </c>
      <c r="D50" s="27" t="s">
        <v>143</v>
      </c>
      <c r="E50" s="27" t="s">
        <v>43</v>
      </c>
      <c r="F50" s="25" t="s">
        <v>144</v>
      </c>
    </row>
    <row r="51" spans="3:25" ht="33" hidden="1" customHeight="1" outlineLevel="1">
      <c r="C51" s="120" t="s">
        <v>145</v>
      </c>
      <c r="D51" s="146" t="s">
        <v>146</v>
      </c>
      <c r="E51" s="71">
        <v>0</v>
      </c>
      <c r="F51" s="26">
        <f>IF(E51&gt;0,(E51*(D3)),0)</f>
        <v>0</v>
      </c>
      <c r="G51" s="121"/>
    </row>
    <row r="52" spans="3:25" hidden="1" outlineLevel="1">
      <c r="C52" s="20" t="s">
        <v>147</v>
      </c>
      <c r="D52" s="98" t="s">
        <v>148</v>
      </c>
      <c r="E52" s="269">
        <f>'Input - General and Overview'!C9</f>
        <v>0</v>
      </c>
      <c r="F52" s="26">
        <f>IF(E52&gt;0,F51*E52,0)</f>
        <v>0</v>
      </c>
    </row>
    <row r="53" spans="3:25" hidden="1" outlineLevel="1">
      <c r="C53" s="20" t="s">
        <v>149</v>
      </c>
      <c r="D53" s="98" t="s">
        <v>150</v>
      </c>
      <c r="E53" s="72">
        <v>0</v>
      </c>
      <c r="F53" s="26">
        <f>E53</f>
        <v>0</v>
      </c>
    </row>
    <row r="54" spans="3:25" hidden="1" outlineLevel="1">
      <c r="C54" s="48"/>
      <c r="F54" s="26">
        <f>F51-F52+F53</f>
        <v>0</v>
      </c>
    </row>
    <row r="55" spans="3:25" collapsed="1"/>
    <row r="56" spans="3:25" ht="26.1">
      <c r="C56" s="164" t="s">
        <v>151</v>
      </c>
      <c r="D56" s="21"/>
      <c r="E56" s="21"/>
      <c r="F56" s="21"/>
      <c r="G56" s="21"/>
      <c r="H56" s="21"/>
      <c r="I56" s="21"/>
      <c r="J56" s="21"/>
      <c r="K56" s="21"/>
      <c r="L56" s="21"/>
      <c r="M56" s="21"/>
      <c r="N56" s="21"/>
      <c r="O56" s="21"/>
      <c r="P56" s="21"/>
      <c r="Q56" s="21"/>
      <c r="R56" s="21"/>
      <c r="S56" s="21"/>
      <c r="T56" s="21"/>
      <c r="U56" s="21"/>
      <c r="V56" s="21"/>
      <c r="W56" s="21"/>
      <c r="X56" s="21"/>
      <c r="Y56" s="21"/>
    </row>
    <row r="57" spans="3:25" ht="15.6" hidden="1" customHeight="1" outlineLevel="1" thickBot="1">
      <c r="C57" s="122"/>
    </row>
    <row r="58" spans="3:25" ht="51" hidden="1" customHeight="1" outlineLevel="1">
      <c r="C58" s="422" t="s">
        <v>152</v>
      </c>
      <c r="D58" s="423"/>
      <c r="E58" s="424"/>
    </row>
    <row r="59" spans="3:25" ht="107.45" hidden="1" customHeight="1" outlineLevel="1" thickBot="1">
      <c r="C59" s="416" t="s">
        <v>153</v>
      </c>
      <c r="D59" s="417"/>
      <c r="E59" s="418"/>
      <c r="G59" s="169" t="s">
        <v>0</v>
      </c>
    </row>
    <row r="60" spans="3:25" hidden="1" outlineLevel="1">
      <c r="C60" s="112"/>
      <c r="D60" s="112"/>
      <c r="E60" s="112"/>
    </row>
    <row r="61" spans="3:25" hidden="1" outlineLevel="1">
      <c r="C61" s="70" t="s">
        <v>154</v>
      </c>
      <c r="D61" s="25" t="s">
        <v>139</v>
      </c>
      <c r="E61" s="25" t="s">
        <v>140</v>
      </c>
    </row>
    <row r="62" spans="3:25" hidden="1" outlineLevel="1">
      <c r="C62" s="20" t="s">
        <v>141</v>
      </c>
      <c r="D62" s="37">
        <f>'Input - General and Overview'!G22</f>
        <v>2026</v>
      </c>
      <c r="E62" s="37">
        <f>'Input - General and Overview'!H22</f>
        <v>2026</v>
      </c>
    </row>
    <row r="63" spans="3:25" hidden="1" outlineLevel="1">
      <c r="C63" s="112"/>
      <c r="D63" s="112"/>
      <c r="E63" s="112"/>
    </row>
    <row r="64" spans="3:25" hidden="1" outlineLevel="1">
      <c r="C64" s="18" t="s">
        <v>155</v>
      </c>
      <c r="D64" s="18" t="s">
        <v>99</v>
      </c>
      <c r="E64" s="19" t="s">
        <v>156</v>
      </c>
    </row>
    <row r="65" spans="1:7" hidden="1" outlineLevel="1">
      <c r="C65" s="123" t="s">
        <v>157</v>
      </c>
      <c r="D65" s="83" t="s">
        <v>158</v>
      </c>
      <c r="E65" s="357" t="str">
        <f>'Inputs - List of Trees'!D6</f>
        <v>Soft Landscape</v>
      </c>
    </row>
    <row r="66" spans="1:7" hidden="1" outlineLevel="1">
      <c r="C66" s="112"/>
      <c r="D66" s="112"/>
      <c r="E66" s="112"/>
    </row>
    <row r="67" spans="1:7" ht="14.45" hidden="1" customHeight="1" outlineLevel="1">
      <c r="C67" s="27" t="s">
        <v>159</v>
      </c>
      <c r="D67" s="19" t="s">
        <v>99</v>
      </c>
      <c r="E67" s="27" t="s">
        <v>100</v>
      </c>
      <c r="F67" s="19" t="s">
        <v>160</v>
      </c>
      <c r="G67" s="86" t="s">
        <v>104</v>
      </c>
    </row>
    <row r="68" spans="1:7" ht="14.45" hidden="1" customHeight="1" outlineLevel="1">
      <c r="C68" s="167" t="s">
        <v>161</v>
      </c>
      <c r="D68" s="92" t="s">
        <v>162</v>
      </c>
      <c r="E68" s="410"/>
      <c r="F68" s="107">
        <v>0</v>
      </c>
      <c r="G68" s="402">
        <f>IF(E68=Yes,F69*F68,0)</f>
        <v>0</v>
      </c>
    </row>
    <row r="69" spans="1:7" ht="14.45" hidden="1" customHeight="1" outlineLevel="1">
      <c r="C69" s="167" t="s">
        <v>163</v>
      </c>
      <c r="D69" s="92" t="s">
        <v>164</v>
      </c>
      <c r="E69" s="411"/>
      <c r="F69" s="127">
        <v>0</v>
      </c>
      <c r="G69" s="403"/>
    </row>
    <row r="70" spans="1:7" ht="14.45" hidden="1" customHeight="1" outlineLevel="1">
      <c r="C70" s="87" t="s">
        <v>165</v>
      </c>
      <c r="D70" s="93" t="s">
        <v>125</v>
      </c>
      <c r="E70" s="124"/>
      <c r="F70" s="125">
        <v>0</v>
      </c>
      <c r="G70" s="26">
        <f t="shared" ref="G70:G76" si="2">IF(E70=Yes,F70,0)</f>
        <v>0</v>
      </c>
    </row>
    <row r="71" spans="1:7" hidden="1" outlineLevel="1">
      <c r="C71" s="87" t="s">
        <v>166</v>
      </c>
      <c r="D71" s="145" t="s">
        <v>125</v>
      </c>
      <c r="E71" s="163"/>
      <c r="F71" s="125">
        <v>0</v>
      </c>
      <c r="G71" s="162">
        <f t="shared" si="2"/>
        <v>0</v>
      </c>
    </row>
    <row r="72" spans="1:7" ht="14.45" hidden="1" customHeight="1" outlineLevel="1">
      <c r="C72" s="87" t="s">
        <v>167</v>
      </c>
      <c r="D72" s="93" t="s">
        <v>125</v>
      </c>
      <c r="E72" s="163"/>
      <c r="F72" s="125">
        <v>0</v>
      </c>
      <c r="G72" s="26">
        <f t="shared" si="2"/>
        <v>0</v>
      </c>
    </row>
    <row r="73" spans="1:7" ht="14.45" hidden="1" customHeight="1" outlineLevel="1">
      <c r="C73" s="120" t="s">
        <v>168</v>
      </c>
      <c r="D73" s="93" t="s">
        <v>125</v>
      </c>
      <c r="E73" s="163"/>
      <c r="F73" s="107">
        <v>0</v>
      </c>
      <c r="G73" s="26">
        <f t="shared" si="2"/>
        <v>0</v>
      </c>
    </row>
    <row r="74" spans="1:7" ht="14.1" hidden="1" customHeight="1" outlineLevel="1">
      <c r="C74" s="199" t="s">
        <v>124</v>
      </c>
      <c r="D74" s="93" t="s">
        <v>125</v>
      </c>
      <c r="E74" s="163"/>
      <c r="F74" s="125">
        <v>0</v>
      </c>
      <c r="G74" s="26">
        <f t="shared" si="2"/>
        <v>0</v>
      </c>
    </row>
    <row r="75" spans="1:7" ht="14.45" hidden="1" customHeight="1" outlineLevel="1">
      <c r="C75" s="199" t="s">
        <v>126</v>
      </c>
      <c r="D75" s="93" t="s">
        <v>125</v>
      </c>
      <c r="E75" s="163"/>
      <c r="F75" s="125">
        <v>0</v>
      </c>
      <c r="G75" s="26">
        <f t="shared" si="2"/>
        <v>0</v>
      </c>
    </row>
    <row r="76" spans="1:7" ht="14.45" hidden="1" customHeight="1" outlineLevel="1">
      <c r="C76" s="199" t="s">
        <v>127</v>
      </c>
      <c r="D76" s="93" t="s">
        <v>125</v>
      </c>
      <c r="E76" s="124"/>
      <c r="F76" s="125">
        <v>0</v>
      </c>
      <c r="G76" s="26">
        <f t="shared" si="2"/>
        <v>0</v>
      </c>
    </row>
    <row r="77" spans="1:7" ht="14.45" hidden="1" customHeight="1" outlineLevel="1" thickBot="1"/>
    <row r="78" spans="1:7" ht="29.1" hidden="1" customHeight="1" outlineLevel="1" thickBot="1">
      <c r="A78" s="73" t="s">
        <v>169</v>
      </c>
      <c r="C78" s="65" t="s">
        <v>170</v>
      </c>
      <c r="D78" s="425" t="str">
        <f>IF(E65=SOFT_LANDSCAPE,"Current setting is in Soft Landscape, the below 'Soft Landscape' section will function, click the '+' to expand","Current setting is in Hard Landscape, the below 'Soft Landscape' section will not function")</f>
        <v>Current setting is in Soft Landscape, the below 'Soft Landscape' section will function, click the '+' to expand</v>
      </c>
      <c r="E78" s="426"/>
    </row>
    <row r="79" spans="1:7" ht="18" hidden="1" customHeight="1" outlineLevel="2" thickBot="1">
      <c r="A79" s="73"/>
    </row>
    <row r="80" spans="1:7" ht="53.45" hidden="1" customHeight="1" outlineLevel="2" thickBot="1">
      <c r="A80" s="73"/>
      <c r="C80" s="422" t="s">
        <v>171</v>
      </c>
      <c r="D80" s="423"/>
      <c r="E80" s="424"/>
    </row>
    <row r="81" spans="1:15" ht="29.1" hidden="1" customHeight="1" outlineLevel="2">
      <c r="A81" s="73"/>
      <c r="C81" s="434" t="s">
        <v>172</v>
      </c>
      <c r="D81" s="435"/>
      <c r="E81" s="436"/>
    </row>
    <row r="82" spans="1:15" ht="48" hidden="1" customHeight="1" outlineLevel="2" thickBot="1">
      <c r="A82" s="73"/>
      <c r="C82" s="437"/>
      <c r="D82" s="438"/>
      <c r="E82" s="439"/>
    </row>
    <row r="83" spans="1:15" hidden="1" outlineLevel="2">
      <c r="A83" s="73"/>
      <c r="C83" s="112"/>
      <c r="D83" s="112"/>
      <c r="E83" s="112"/>
    </row>
    <row r="84" spans="1:15" hidden="1" outlineLevel="2">
      <c r="A84" s="442"/>
      <c r="C84" s="27" t="s">
        <v>173</v>
      </c>
      <c r="D84" s="27" t="s">
        <v>99</v>
      </c>
      <c r="E84" s="27" t="s">
        <v>100</v>
      </c>
      <c r="F84" s="25" t="s">
        <v>174</v>
      </c>
      <c r="G84" s="25" t="s">
        <v>104</v>
      </c>
    </row>
    <row r="85" spans="1:15" hidden="1" outlineLevel="2">
      <c r="A85" s="442"/>
      <c r="C85" s="167" t="s">
        <v>175</v>
      </c>
      <c r="D85" s="145" t="s">
        <v>176</v>
      </c>
      <c r="E85" s="410"/>
      <c r="F85" s="107">
        <v>0</v>
      </c>
      <c r="G85" s="402">
        <f>IF(AND($E$65=SOFT_LANDSCAPE,E85=Yes),(F85*F86),0)</f>
        <v>0</v>
      </c>
    </row>
    <row r="86" spans="1:15" hidden="1" outlineLevel="2">
      <c r="A86" s="442"/>
      <c r="C86" s="167" t="s">
        <v>163</v>
      </c>
      <c r="D86" s="93" t="s">
        <v>164</v>
      </c>
      <c r="E86" s="411"/>
      <c r="F86" s="127">
        <v>0</v>
      </c>
      <c r="G86" s="403"/>
      <c r="H86" s="121"/>
    </row>
    <row r="87" spans="1:15" hidden="1" outlineLevel="2">
      <c r="A87" s="442"/>
      <c r="C87" s="167" t="s">
        <v>177</v>
      </c>
      <c r="D87" s="93" t="s">
        <v>178</v>
      </c>
      <c r="E87" s="128"/>
      <c r="F87" s="107">
        <v>0</v>
      </c>
      <c r="G87" s="26">
        <f>IF(AND($E$65=SOFT_LANDSCAPE,E87=Yes),(F87)*(#REF!),0)</f>
        <v>0</v>
      </c>
      <c r="H87" s="121"/>
    </row>
    <row r="88" spans="1:15" hidden="1" outlineLevel="2">
      <c r="A88" s="442"/>
      <c r="C88" s="167" t="s">
        <v>179</v>
      </c>
      <c r="D88" s="93" t="s">
        <v>178</v>
      </c>
      <c r="E88" s="128"/>
      <c r="F88" s="107">
        <v>0</v>
      </c>
      <c r="G88" s="26">
        <f>IF(AND($E$65=SOFT_LANDSCAPE,E88=Yes),(F88)*(#REF!),0)</f>
        <v>0</v>
      </c>
      <c r="H88" s="121"/>
    </row>
    <row r="89" spans="1:15" hidden="1" outlineLevel="2">
      <c r="A89" s="442"/>
      <c r="C89" s="199" t="s">
        <v>124</v>
      </c>
      <c r="D89" s="93" t="s">
        <v>125</v>
      </c>
      <c r="E89" s="126"/>
      <c r="F89" s="107">
        <v>0</v>
      </c>
      <c r="G89" s="26">
        <f>IF(AND($E$65=SOFT_LANDSCAPE,E89=Yes),(F89),0)</f>
        <v>0</v>
      </c>
      <c r="H89" s="121"/>
      <c r="M89" s="112"/>
      <c r="N89" s="112"/>
      <c r="O89" s="112"/>
    </row>
    <row r="90" spans="1:15" hidden="1" outlineLevel="2">
      <c r="A90" s="442"/>
      <c r="C90" s="199" t="s">
        <v>126</v>
      </c>
      <c r="D90" s="93" t="s">
        <v>125</v>
      </c>
      <c r="E90" s="126"/>
      <c r="F90" s="107">
        <v>0</v>
      </c>
      <c r="G90" s="26">
        <f>IF(AND($E$65=SOFT_LANDSCAPE,E90=Yes),(F90),0)</f>
        <v>0</v>
      </c>
      <c r="H90" s="121"/>
      <c r="M90" s="112"/>
      <c r="N90" s="112"/>
      <c r="O90" s="112"/>
    </row>
    <row r="91" spans="1:15" hidden="1" outlineLevel="2">
      <c r="A91" s="442"/>
      <c r="C91" s="199" t="s">
        <v>127</v>
      </c>
      <c r="D91" s="93" t="s">
        <v>125</v>
      </c>
      <c r="E91" s="126"/>
      <c r="F91" s="107">
        <v>0</v>
      </c>
      <c r="G91" s="26">
        <f>IF(AND($E$65=SOFT_LANDSCAPE,E91=Yes),(F91),0)</f>
        <v>0</v>
      </c>
      <c r="H91" s="121"/>
      <c r="M91" s="112"/>
      <c r="N91" s="112"/>
      <c r="O91" s="112"/>
    </row>
    <row r="92" spans="1:15" hidden="1" outlineLevel="2">
      <c r="A92" s="442"/>
      <c r="C92" s="199" t="s">
        <v>128</v>
      </c>
      <c r="D92" s="93" t="s">
        <v>125</v>
      </c>
      <c r="E92" s="126"/>
      <c r="F92" s="107">
        <v>0</v>
      </c>
      <c r="G92" s="26">
        <f>IF(AND($E$65=SOFT_LANDSCAPE,E92=Yes),(F92),0)</f>
        <v>0</v>
      </c>
      <c r="H92" s="121"/>
      <c r="M92" s="112"/>
      <c r="N92" s="112"/>
      <c r="O92" s="112"/>
    </row>
    <row r="93" spans="1:15" hidden="1" outlineLevel="2">
      <c r="A93" s="442"/>
      <c r="C93" s="199" t="s">
        <v>129</v>
      </c>
      <c r="D93" s="93" t="s">
        <v>125</v>
      </c>
      <c r="E93" s="126"/>
      <c r="F93" s="107">
        <v>0</v>
      </c>
      <c r="G93" s="26">
        <f>IF(AND($E$65=SOFT_LANDSCAPE,E93=Yes),(F93),0)</f>
        <v>0</v>
      </c>
      <c r="H93" s="121"/>
      <c r="M93" s="112"/>
      <c r="N93" s="112"/>
      <c r="O93" s="112"/>
    </row>
    <row r="94" spans="1:15" hidden="1" outlineLevel="2" collapsed="1"/>
    <row r="95" spans="1:15" ht="15" hidden="1" outlineLevel="1" collapsed="1" thickBot="1"/>
    <row r="96" spans="1:15" ht="30.6" hidden="1" customHeight="1" outlineLevel="1" thickBot="1">
      <c r="A96" s="74" t="s">
        <v>169</v>
      </c>
      <c r="C96" s="66" t="s">
        <v>180</v>
      </c>
      <c r="D96" s="425" t="str">
        <f>IF(E65=HARD_LANDSCAPE,"Current setting is in Hard Landscape, the below section will function, click the '+' to expand","Current setting is in Soft Landscape, the below section will not function")</f>
        <v>Current setting is in Soft Landscape, the below section will not function</v>
      </c>
      <c r="E96" s="426"/>
    </row>
    <row r="97" spans="1:7" ht="15" hidden="1" outlineLevel="2" thickBot="1">
      <c r="A97" s="74"/>
    </row>
    <row r="98" spans="1:7" ht="74.45" hidden="1" customHeight="1" outlineLevel="2" thickBot="1">
      <c r="A98" s="74"/>
      <c r="C98" s="422" t="s">
        <v>181</v>
      </c>
      <c r="D98" s="423"/>
      <c r="E98" s="424"/>
    </row>
    <row r="99" spans="1:7" s="129" customFormat="1" ht="90.6" hidden="1" customHeight="1" outlineLevel="2" thickBot="1">
      <c r="A99" s="85"/>
      <c r="B99" s="106"/>
      <c r="C99" s="431" t="s">
        <v>182</v>
      </c>
      <c r="D99" s="432"/>
      <c r="E99" s="433"/>
    </row>
    <row r="100" spans="1:7" s="129" customFormat="1" hidden="1" outlineLevel="2">
      <c r="A100" s="85"/>
      <c r="B100" s="106"/>
    </row>
    <row r="101" spans="1:7" hidden="1" outlineLevel="2">
      <c r="A101" s="61"/>
      <c r="B101" s="27" t="s">
        <v>97</v>
      </c>
      <c r="C101" s="91" t="s">
        <v>183</v>
      </c>
      <c r="D101" s="27" t="s">
        <v>99</v>
      </c>
      <c r="E101" s="27" t="s">
        <v>100</v>
      </c>
      <c r="F101" s="25" t="s">
        <v>174</v>
      </c>
      <c r="G101" s="86" t="s">
        <v>104</v>
      </c>
    </row>
    <row r="102" spans="1:7" hidden="1" outlineLevel="2">
      <c r="A102" s="61"/>
      <c r="B102" s="429" t="s">
        <v>184</v>
      </c>
      <c r="C102" s="120" t="s">
        <v>175</v>
      </c>
      <c r="D102" s="440" t="s">
        <v>185</v>
      </c>
      <c r="E102" s="410"/>
      <c r="F102" s="107">
        <v>0</v>
      </c>
      <c r="G102" s="402">
        <f>IF(AND($E$65=HARD_LANDSCAPE,E102=Yes),F102*F103,0)</f>
        <v>0</v>
      </c>
    </row>
    <row r="103" spans="1:7" hidden="1" outlineLevel="2">
      <c r="A103" s="61"/>
      <c r="B103" s="429"/>
      <c r="C103" s="120" t="s">
        <v>186</v>
      </c>
      <c r="D103" s="441"/>
      <c r="E103" s="411"/>
      <c r="F103" s="127">
        <v>0</v>
      </c>
      <c r="G103" s="403"/>
    </row>
    <row r="104" spans="1:7" hidden="1" outlineLevel="2">
      <c r="A104" s="61"/>
      <c r="B104" s="430" t="s">
        <v>187</v>
      </c>
      <c r="C104" s="118" t="s">
        <v>188</v>
      </c>
      <c r="D104" s="93" t="s">
        <v>125</v>
      </c>
      <c r="E104" s="124"/>
      <c r="F104" s="130">
        <v>0</v>
      </c>
      <c r="G104" s="26">
        <f t="shared" ref="G104:G110" si="3">IF(AND($E$65=HARD_LANDSCAPE,E104=Yes),F104,0)</f>
        <v>0</v>
      </c>
    </row>
    <row r="105" spans="1:7" hidden="1" outlineLevel="2">
      <c r="A105" s="61"/>
      <c r="B105" s="430"/>
      <c r="C105" s="120" t="s">
        <v>189</v>
      </c>
      <c r="D105" s="93" t="s">
        <v>125</v>
      </c>
      <c r="E105" s="126"/>
      <c r="F105" s="107">
        <v>0</v>
      </c>
      <c r="G105" s="26">
        <f>IF(AND($E$65=HARD_LANDSCAPE,E105=Yes),F105,0)</f>
        <v>0</v>
      </c>
    </row>
    <row r="106" spans="1:7" hidden="1" outlineLevel="2">
      <c r="A106" s="61"/>
      <c r="B106" s="430"/>
      <c r="C106" s="120" t="s">
        <v>190</v>
      </c>
      <c r="D106" s="93" t="s">
        <v>125</v>
      </c>
      <c r="E106" s="126"/>
      <c r="F106" s="107">
        <v>0</v>
      </c>
      <c r="G106" s="26">
        <f t="shared" si="3"/>
        <v>0</v>
      </c>
    </row>
    <row r="107" spans="1:7" hidden="1" outlineLevel="2">
      <c r="A107" s="61"/>
      <c r="B107" s="446" t="s">
        <v>191</v>
      </c>
      <c r="C107" s="120" t="s">
        <v>192</v>
      </c>
      <c r="D107" s="93" t="s">
        <v>125</v>
      </c>
      <c r="E107" s="126"/>
      <c r="F107" s="107">
        <v>0</v>
      </c>
      <c r="G107" s="26">
        <f t="shared" si="3"/>
        <v>0</v>
      </c>
    </row>
    <row r="108" spans="1:7" hidden="1" outlineLevel="2">
      <c r="A108" s="61"/>
      <c r="B108" s="446"/>
      <c r="C108" s="120" t="s">
        <v>177</v>
      </c>
      <c r="D108" s="93" t="s">
        <v>178</v>
      </c>
      <c r="E108" s="126"/>
      <c r="F108" s="107">
        <v>0</v>
      </c>
      <c r="G108" s="26">
        <f>IF(AND($E$65=HARD_LANDSCAPE,E108=Yes),(F108)*(#REF!),0)</f>
        <v>0</v>
      </c>
    </row>
    <row r="109" spans="1:7" hidden="1" outlineLevel="2">
      <c r="A109" s="61"/>
      <c r="B109" s="446"/>
      <c r="C109" s="116" t="s">
        <v>193</v>
      </c>
      <c r="D109" s="93" t="s">
        <v>125</v>
      </c>
      <c r="E109" s="124"/>
      <c r="F109" s="130">
        <v>0</v>
      </c>
      <c r="G109" s="26">
        <f>IF(AND($E$65=HARD_LANDSCAPE,E109=Yes),F109,0)</f>
        <v>0</v>
      </c>
    </row>
    <row r="110" spans="1:7" hidden="1" outlineLevel="2">
      <c r="A110" s="61"/>
      <c r="B110" s="446"/>
      <c r="C110" s="131" t="s">
        <v>194</v>
      </c>
      <c r="D110" s="93" t="s">
        <v>125</v>
      </c>
      <c r="E110" s="126"/>
      <c r="F110" s="107">
        <v>0</v>
      </c>
      <c r="G110" s="26">
        <f t="shared" si="3"/>
        <v>0</v>
      </c>
    </row>
    <row r="111" spans="1:7" hidden="1" outlineLevel="2">
      <c r="A111" s="61"/>
      <c r="B111" s="446"/>
      <c r="C111" s="120" t="s">
        <v>195</v>
      </c>
      <c r="D111" s="440" t="s">
        <v>196</v>
      </c>
      <c r="E111" s="410"/>
      <c r="F111" s="132">
        <v>0</v>
      </c>
      <c r="G111" s="402">
        <f>IF(AND($E$65=HARD_LANDSCAPE,E111=Yes),F111*F112,0)</f>
        <v>0</v>
      </c>
    </row>
    <row r="112" spans="1:7" hidden="1" outlineLevel="2">
      <c r="A112" s="61"/>
      <c r="B112" s="446"/>
      <c r="C112" s="120" t="s">
        <v>197</v>
      </c>
      <c r="D112" s="441"/>
      <c r="E112" s="411"/>
      <c r="F112" s="107">
        <v>0</v>
      </c>
      <c r="G112" s="403"/>
    </row>
    <row r="113" spans="1:8" hidden="1" outlineLevel="2">
      <c r="A113" s="61"/>
      <c r="B113" s="446"/>
      <c r="C113" s="120" t="s">
        <v>198</v>
      </c>
      <c r="D113" s="93" t="s">
        <v>125</v>
      </c>
      <c r="E113" s="126"/>
      <c r="F113" s="107">
        <v>0</v>
      </c>
      <c r="G113" s="26">
        <f>IF(AND($E$65=HARD_LANDSCAPE,E113=Yes),F113,0)</f>
        <v>0</v>
      </c>
    </row>
    <row r="114" spans="1:8" hidden="1" outlineLevel="2">
      <c r="A114" s="61"/>
      <c r="B114" s="446"/>
      <c r="C114" s="118" t="s">
        <v>199</v>
      </c>
      <c r="D114" s="93" t="s">
        <v>125</v>
      </c>
      <c r="E114" s="124"/>
      <c r="F114" s="130">
        <v>0</v>
      </c>
      <c r="G114" s="26">
        <f>IF(AND($E$65=HARD_LANDSCAPE,E114=Yes),F114,0)</f>
        <v>0</v>
      </c>
    </row>
    <row r="115" spans="1:8" hidden="1" outlineLevel="2">
      <c r="A115" s="61"/>
      <c r="B115" s="446"/>
      <c r="C115" s="9" t="s">
        <v>200</v>
      </c>
      <c r="D115" s="93" t="s">
        <v>178</v>
      </c>
      <c r="E115" s="124"/>
      <c r="F115" s="130">
        <v>0</v>
      </c>
      <c r="G115" s="26">
        <f>IF(AND($E$65=HARD_LANDSCAPE,E115=Yes),(F115)*(#REF!),0)</f>
        <v>0</v>
      </c>
    </row>
    <row r="116" spans="1:8" hidden="1" outlineLevel="2">
      <c r="A116" s="61"/>
      <c r="B116" s="446"/>
      <c r="C116" s="9" t="s">
        <v>179</v>
      </c>
      <c r="D116" s="93" t="s">
        <v>178</v>
      </c>
      <c r="E116" s="124"/>
      <c r="F116" s="130">
        <v>0</v>
      </c>
      <c r="G116" s="26">
        <f>IF(AND($E$65=HARD_LANDSCAPE,E116=Yes),(F116)*(#REF!),0)</f>
        <v>0</v>
      </c>
    </row>
    <row r="117" spans="1:8" hidden="1" outlineLevel="2">
      <c r="A117" s="61"/>
    </row>
    <row r="118" spans="1:8" ht="51" hidden="1" customHeight="1" outlineLevel="2">
      <c r="A118" s="61"/>
      <c r="C118" s="91" t="s">
        <v>201</v>
      </c>
      <c r="D118" s="27" t="s">
        <v>99</v>
      </c>
      <c r="E118" s="27" t="s">
        <v>100</v>
      </c>
      <c r="F118" s="25" t="s">
        <v>202</v>
      </c>
      <c r="G118" s="25" t="s">
        <v>203</v>
      </c>
      <c r="H118" s="198" t="s">
        <v>104</v>
      </c>
    </row>
    <row r="119" spans="1:8" hidden="1" outlineLevel="2">
      <c r="A119" s="61"/>
      <c r="B119" s="447" t="s">
        <v>201</v>
      </c>
      <c r="C119" s="116" t="s">
        <v>204</v>
      </c>
      <c r="D119" s="141" t="s">
        <v>205</v>
      </c>
      <c r="E119" s="124"/>
      <c r="F119" s="133">
        <v>0</v>
      </c>
      <c r="G119" s="130">
        <v>0</v>
      </c>
      <c r="H119" s="26">
        <f t="shared" ref="H119:H124" si="4">IF(AND($E$65=HARD_LANDSCAPE,$E119=Yes),(F119*G119),0)</f>
        <v>0</v>
      </c>
    </row>
    <row r="120" spans="1:8" hidden="1" outlineLevel="2">
      <c r="A120" s="61"/>
      <c r="B120" s="448"/>
      <c r="C120" s="116" t="s">
        <v>206</v>
      </c>
      <c r="D120" s="141" t="s">
        <v>205</v>
      </c>
      <c r="E120" s="124"/>
      <c r="F120" s="133">
        <v>0</v>
      </c>
      <c r="G120" s="130">
        <v>0</v>
      </c>
      <c r="H120" s="26">
        <f t="shared" si="4"/>
        <v>0</v>
      </c>
    </row>
    <row r="121" spans="1:8" hidden="1" outlineLevel="2">
      <c r="A121" s="61"/>
      <c r="B121" s="448"/>
      <c r="C121" s="117" t="s">
        <v>207</v>
      </c>
      <c r="D121" s="141" t="s">
        <v>205</v>
      </c>
      <c r="E121" s="124"/>
      <c r="F121" s="133">
        <v>0</v>
      </c>
      <c r="G121" s="130">
        <v>0</v>
      </c>
      <c r="H121" s="26">
        <f t="shared" si="4"/>
        <v>0</v>
      </c>
    </row>
    <row r="122" spans="1:8" hidden="1" outlineLevel="2">
      <c r="A122" s="61"/>
      <c r="B122" s="448"/>
      <c r="C122" s="117" t="s">
        <v>208</v>
      </c>
      <c r="D122" s="141" t="s">
        <v>205</v>
      </c>
      <c r="E122" s="124"/>
      <c r="F122" s="133">
        <v>0</v>
      </c>
      <c r="G122" s="130">
        <v>0</v>
      </c>
      <c r="H122" s="26">
        <f t="shared" si="4"/>
        <v>0</v>
      </c>
    </row>
    <row r="123" spans="1:8" ht="16.5" hidden="1" outlineLevel="2">
      <c r="A123" s="61"/>
      <c r="B123" s="448"/>
      <c r="C123" s="117" t="s">
        <v>209</v>
      </c>
      <c r="D123" s="141" t="s">
        <v>205</v>
      </c>
      <c r="E123" s="124"/>
      <c r="F123" s="133">
        <v>0</v>
      </c>
      <c r="G123" s="130">
        <v>0</v>
      </c>
      <c r="H123" s="26">
        <f t="shared" si="4"/>
        <v>0</v>
      </c>
    </row>
    <row r="124" spans="1:8" hidden="1" outlineLevel="2">
      <c r="A124" s="61"/>
      <c r="B124" s="449"/>
      <c r="C124" s="116" t="s">
        <v>210</v>
      </c>
      <c r="D124" s="141" t="s">
        <v>205</v>
      </c>
      <c r="E124" s="124"/>
      <c r="F124" s="133">
        <v>0</v>
      </c>
      <c r="G124" s="130">
        <v>0</v>
      </c>
      <c r="H124" s="26">
        <f t="shared" si="4"/>
        <v>0</v>
      </c>
    </row>
    <row r="125" spans="1:8" hidden="1" outlineLevel="2">
      <c r="A125" s="61"/>
      <c r="B125"/>
    </row>
    <row r="126" spans="1:8" hidden="1" outlineLevel="2">
      <c r="A126" s="61"/>
      <c r="B126"/>
      <c r="C126" s="91" t="s">
        <v>211</v>
      </c>
      <c r="D126" s="27" t="s">
        <v>99</v>
      </c>
      <c r="E126" s="27" t="s">
        <v>100</v>
      </c>
      <c r="F126" s="25" t="s">
        <v>174</v>
      </c>
      <c r="G126" s="86" t="s">
        <v>104</v>
      </c>
    </row>
    <row r="127" spans="1:8" hidden="1" outlineLevel="2">
      <c r="A127" s="61"/>
      <c r="B127"/>
      <c r="C127" s="199" t="s">
        <v>212</v>
      </c>
      <c r="D127" s="93" t="s">
        <v>125</v>
      </c>
      <c r="E127" s="124"/>
      <c r="F127" s="130">
        <v>0</v>
      </c>
      <c r="G127" s="26">
        <f t="shared" ref="G127:G136" si="5">IF(AND($E$65=HARD_LANDSCAPE,$E127=Yes),F127,0)</f>
        <v>0</v>
      </c>
    </row>
    <row r="128" spans="1:8" hidden="1" outlineLevel="2">
      <c r="A128" s="61"/>
      <c r="B128"/>
      <c r="C128" s="199" t="s">
        <v>126</v>
      </c>
      <c r="D128" s="93" t="s">
        <v>125</v>
      </c>
      <c r="E128" s="124"/>
      <c r="F128" s="130">
        <v>0</v>
      </c>
      <c r="G128" s="26">
        <f t="shared" si="5"/>
        <v>0</v>
      </c>
    </row>
    <row r="129" spans="1:25" hidden="1" outlineLevel="2">
      <c r="A129" s="61"/>
      <c r="C129" s="199" t="s">
        <v>127</v>
      </c>
      <c r="D129" s="93" t="s">
        <v>125</v>
      </c>
      <c r="E129" s="124"/>
      <c r="F129" s="130">
        <v>0</v>
      </c>
      <c r="G129" s="26">
        <f t="shared" si="5"/>
        <v>0</v>
      </c>
    </row>
    <row r="130" spans="1:25" hidden="1" outlineLevel="2">
      <c r="A130" s="61"/>
      <c r="C130" s="199" t="s">
        <v>128</v>
      </c>
      <c r="D130" s="93" t="s">
        <v>125</v>
      </c>
      <c r="E130" s="124"/>
      <c r="F130" s="130">
        <v>0</v>
      </c>
      <c r="G130" s="26">
        <f>IF(AND($E$65=HARD_LANDSCAPE,$E130=Yes),F130,0)</f>
        <v>0</v>
      </c>
    </row>
    <row r="131" spans="1:25" hidden="1" outlineLevel="2">
      <c r="A131" s="61"/>
      <c r="C131" s="199" t="s">
        <v>129</v>
      </c>
      <c r="D131" s="93" t="s">
        <v>125</v>
      </c>
      <c r="E131" s="124"/>
      <c r="F131" s="130">
        <v>0</v>
      </c>
      <c r="G131" s="26">
        <f t="shared" si="5"/>
        <v>0</v>
      </c>
    </row>
    <row r="132" spans="1:25" hidden="1" outlineLevel="2">
      <c r="A132" s="61"/>
      <c r="C132" s="199" t="s">
        <v>130</v>
      </c>
      <c r="D132" s="93" t="s">
        <v>125</v>
      </c>
      <c r="E132" s="124"/>
      <c r="F132" s="130">
        <v>0</v>
      </c>
      <c r="G132" s="26">
        <f t="shared" si="5"/>
        <v>0</v>
      </c>
    </row>
    <row r="133" spans="1:25" hidden="1" outlineLevel="2">
      <c r="A133" s="61"/>
      <c r="C133" s="199" t="s">
        <v>131</v>
      </c>
      <c r="D133" s="93" t="s">
        <v>125</v>
      </c>
      <c r="E133" s="124"/>
      <c r="F133" s="130">
        <v>0</v>
      </c>
      <c r="G133" s="26">
        <f t="shared" si="5"/>
        <v>0</v>
      </c>
    </row>
    <row r="134" spans="1:25" hidden="1" outlineLevel="2">
      <c r="A134" s="61"/>
      <c r="C134" s="199" t="s">
        <v>213</v>
      </c>
      <c r="D134" s="93" t="s">
        <v>125</v>
      </c>
      <c r="E134" s="124"/>
      <c r="F134" s="130">
        <v>0</v>
      </c>
      <c r="G134" s="26">
        <f t="shared" si="5"/>
        <v>0</v>
      </c>
    </row>
    <row r="135" spans="1:25" hidden="1" outlineLevel="2">
      <c r="A135" s="61"/>
      <c r="C135" s="199" t="s">
        <v>133</v>
      </c>
      <c r="D135" s="93" t="s">
        <v>125</v>
      </c>
      <c r="E135" s="124"/>
      <c r="F135" s="130">
        <v>0</v>
      </c>
      <c r="G135" s="26">
        <f t="shared" si="5"/>
        <v>0</v>
      </c>
    </row>
    <row r="136" spans="1:25" hidden="1" outlineLevel="2">
      <c r="A136" s="61"/>
      <c r="C136" s="199" t="s">
        <v>214</v>
      </c>
      <c r="D136" s="93" t="s">
        <v>125</v>
      </c>
      <c r="E136" s="124"/>
      <c r="F136" s="130">
        <v>0</v>
      </c>
      <c r="G136" s="26">
        <f t="shared" si="5"/>
        <v>0</v>
      </c>
    </row>
    <row r="137" spans="1:25" hidden="1" outlineLevel="1" collapsed="1"/>
    <row r="138" spans="1:25" hidden="1" outlineLevel="1"/>
    <row r="139" spans="1:25" collapsed="1"/>
    <row r="140" spans="1:25" ht="26.1">
      <c r="C140" s="164" t="s">
        <v>215</v>
      </c>
      <c r="D140" s="21"/>
      <c r="E140" s="21"/>
      <c r="F140" s="21"/>
      <c r="G140" s="21"/>
      <c r="H140" s="21"/>
      <c r="I140" s="21"/>
      <c r="J140" s="21"/>
      <c r="K140" s="21"/>
      <c r="L140" s="21"/>
      <c r="M140" s="21"/>
      <c r="N140" s="21"/>
      <c r="O140" s="21"/>
      <c r="P140" s="21"/>
      <c r="Q140" s="21"/>
      <c r="R140" s="21"/>
      <c r="S140" s="21"/>
      <c r="T140" s="21"/>
      <c r="U140" s="21"/>
      <c r="V140" s="21"/>
      <c r="W140" s="21"/>
      <c r="X140" s="21"/>
      <c r="Y140" s="21"/>
    </row>
    <row r="141" spans="1:25" ht="15" hidden="1" outlineLevel="1" thickBot="1"/>
    <row r="142" spans="1:25" hidden="1" outlineLevel="1">
      <c r="C142" s="170" t="s">
        <v>216</v>
      </c>
      <c r="D142" s="109"/>
      <c r="E142" s="110"/>
    </row>
    <row r="143" spans="1:25" ht="80.099999999999994" hidden="1" customHeight="1" outlineLevel="1" thickBot="1">
      <c r="C143" s="413" t="s">
        <v>217</v>
      </c>
      <c r="D143" s="414"/>
      <c r="E143" s="415"/>
    </row>
    <row r="144" spans="1:25" ht="61.5" hidden="1" customHeight="1" outlineLevel="1" thickBot="1">
      <c r="C144" s="416" t="s">
        <v>218</v>
      </c>
      <c r="D144" s="417"/>
      <c r="E144" s="418"/>
    </row>
    <row r="145" spans="2:9" hidden="1" outlineLevel="1"/>
    <row r="146" spans="2:9" ht="27.6" hidden="1" customHeight="1" outlineLevel="1">
      <c r="C146" s="144" t="s">
        <v>219</v>
      </c>
      <c r="D146" s="59" t="s">
        <v>220</v>
      </c>
      <c r="E146" s="59" t="s">
        <v>94</v>
      </c>
      <c r="F146" s="25" t="s">
        <v>95</v>
      </c>
    </row>
    <row r="147" spans="2:9" ht="27.6" hidden="1" customHeight="1" outlineLevel="1">
      <c r="B147"/>
      <c r="C147" s="87" t="s">
        <v>96</v>
      </c>
      <c r="D147" s="37">
        <f>F147-E147</f>
        <v>10</v>
      </c>
      <c r="E147" s="37">
        <f>'Input - General and Overview'!G23</f>
        <v>2025</v>
      </c>
      <c r="F147" s="37">
        <f>'Input - General and Overview'!H23</f>
        <v>2035</v>
      </c>
    </row>
    <row r="148" spans="2:9" hidden="1" outlineLevel="1"/>
    <row r="149" spans="2:9" ht="27.6" hidden="1" customHeight="1" outlineLevel="1">
      <c r="C149" s="27" t="s">
        <v>221</v>
      </c>
      <c r="D149" s="27" t="s">
        <v>99</v>
      </c>
      <c r="E149" s="27" t="s">
        <v>100</v>
      </c>
      <c r="F149" s="19" t="s">
        <v>222</v>
      </c>
      <c r="G149" s="19" t="s">
        <v>223</v>
      </c>
      <c r="H149" s="19" t="s">
        <v>23</v>
      </c>
      <c r="I149" s="19" t="s">
        <v>104</v>
      </c>
    </row>
    <row r="150" spans="2:9" hidden="1" outlineLevel="1">
      <c r="C150" s="87" t="s">
        <v>224</v>
      </c>
      <c r="D150" s="94" t="s">
        <v>148</v>
      </c>
      <c r="E150" s="410"/>
      <c r="F150" s="427"/>
      <c r="G150" s="134">
        <v>0</v>
      </c>
      <c r="H150" s="96">
        <f>IF(E150=Yes,(#REF!)*G150,0)</f>
        <v>0</v>
      </c>
      <c r="I150" s="412">
        <f>IF(AND(E150=Yes,F152=YearWithinRange),H151*H150,)</f>
        <v>0</v>
      </c>
    </row>
    <row r="151" spans="2:9" hidden="1" outlineLevel="1">
      <c r="C151" s="87" t="s">
        <v>225</v>
      </c>
      <c r="D151" s="94" t="s">
        <v>226</v>
      </c>
      <c r="E151" s="411"/>
      <c r="F151" s="428"/>
      <c r="G151" s="135">
        <v>0</v>
      </c>
      <c r="H151" s="26">
        <f>IF(E150=Yes,G151,0)</f>
        <v>0</v>
      </c>
      <c r="I151" s="412"/>
    </row>
    <row r="152" spans="2:9" hidden="1" outlineLevel="1">
      <c r="F152" s="136" t="str">
        <f>IF(OR(F150&lt;$E$147,F150&gt;$F$147),"ERROR - MUST BE WITHIN RANGE","YEAR WITHIN RANGE")</f>
        <v>ERROR - MUST BE WITHIN RANGE</v>
      </c>
    </row>
    <row r="153" spans="2:9" hidden="1" outlineLevel="1"/>
    <row r="154" spans="2:9" ht="27.6" hidden="1" customHeight="1" outlineLevel="1">
      <c r="B154"/>
      <c r="C154" s="102" t="s">
        <v>227</v>
      </c>
      <c r="D154" s="37">
        <f>$E$147</f>
        <v>2025</v>
      </c>
      <c r="E154" s="119" t="str">
        <f>IF(OR(D154&lt;$E$147,D154&gt;$F$147),"NOT INCLUDED - YEAR NOT WITHIN RANGE","YEAR WITHIN RANGE")</f>
        <v>YEAR WITHIN RANGE</v>
      </c>
    </row>
    <row r="155" spans="2:9" hidden="1" outlineLevel="2">
      <c r="B155" s="119" t="s">
        <v>97</v>
      </c>
      <c r="C155" s="27" t="s">
        <v>228</v>
      </c>
      <c r="D155" s="28" t="s">
        <v>99</v>
      </c>
      <c r="E155" s="27" t="s">
        <v>100</v>
      </c>
      <c r="F155" s="27" t="s">
        <v>229</v>
      </c>
      <c r="G155" s="27" t="s">
        <v>230</v>
      </c>
      <c r="H155" s="27" t="s">
        <v>231</v>
      </c>
    </row>
    <row r="156" spans="2:9" hidden="1" outlineLevel="2">
      <c r="B156" s="407" t="s">
        <v>232</v>
      </c>
      <c r="C156" s="116" t="s">
        <v>233</v>
      </c>
      <c r="D156" s="408" t="s">
        <v>234</v>
      </c>
      <c r="E156" s="410"/>
      <c r="F156" s="142">
        <v>0</v>
      </c>
      <c r="G156" s="147">
        <f>IF(E156=Yes,F156,0)</f>
        <v>0</v>
      </c>
      <c r="H156" s="402">
        <f>IF(AND($E$154=YearWithinRange,E156=Yes),G156*G157,)</f>
        <v>0</v>
      </c>
    </row>
    <row r="157" spans="2:9" hidden="1" outlineLevel="2">
      <c r="B157" s="407"/>
      <c r="C157" s="116" t="s">
        <v>235</v>
      </c>
      <c r="D157" s="409"/>
      <c r="E157" s="411"/>
      <c r="F157" s="135">
        <v>0</v>
      </c>
      <c r="G157" s="26">
        <f>IF(E156=Yes,F157,0)</f>
        <v>0</v>
      </c>
      <c r="H157" s="403"/>
    </row>
    <row r="158" spans="2:9" ht="29.1" hidden="1" outlineLevel="2">
      <c r="B158" s="404" t="s">
        <v>236</v>
      </c>
      <c r="C158" s="117" t="s">
        <v>237</v>
      </c>
      <c r="D158" s="95" t="s">
        <v>125</v>
      </c>
      <c r="E158" s="124"/>
      <c r="F158" s="135">
        <v>0</v>
      </c>
      <c r="G158" s="97"/>
      <c r="H158" s="26">
        <f>IF(AND($E$154=YearWithinRange,E158=Yes),F158,)</f>
        <v>0</v>
      </c>
      <c r="I158" s="121"/>
    </row>
    <row r="159" spans="2:9" ht="29.1" hidden="1" customHeight="1" outlineLevel="2">
      <c r="B159" s="405"/>
      <c r="C159" s="117" t="s">
        <v>238</v>
      </c>
      <c r="D159" s="143" t="s">
        <v>239</v>
      </c>
      <c r="E159" s="124"/>
      <c r="F159" s="135">
        <v>0</v>
      </c>
      <c r="G159" s="26">
        <f t="shared" ref="G159:G165" si="6">IF(E159=Yes,F159,0)</f>
        <v>0</v>
      </c>
      <c r="H159" s="26">
        <f t="shared" ref="H159:H165" si="7">IF(AND($E$154=YearWithinRange,E159=Yes),G159*$D$3,)</f>
        <v>0</v>
      </c>
      <c r="I159" s="121"/>
    </row>
    <row r="160" spans="2:9" ht="29.1" hidden="1" outlineLevel="2">
      <c r="B160" s="405"/>
      <c r="C160" s="116" t="s">
        <v>240</v>
      </c>
      <c r="D160" s="143" t="s">
        <v>241</v>
      </c>
      <c r="E160" s="124"/>
      <c r="F160" s="135">
        <v>0</v>
      </c>
      <c r="G160" s="26">
        <f t="shared" si="6"/>
        <v>0</v>
      </c>
      <c r="H160" s="26">
        <f t="shared" si="7"/>
        <v>0</v>
      </c>
      <c r="I160" s="121"/>
    </row>
    <row r="161" spans="2:9" ht="29.1" hidden="1" outlineLevel="2">
      <c r="B161" s="405"/>
      <c r="C161" s="116" t="s">
        <v>242</v>
      </c>
      <c r="D161" s="143" t="s">
        <v>239</v>
      </c>
      <c r="E161" s="124"/>
      <c r="F161" s="135">
        <v>0</v>
      </c>
      <c r="G161" s="26">
        <f t="shared" si="6"/>
        <v>0</v>
      </c>
      <c r="H161" s="26">
        <f t="shared" si="7"/>
        <v>0</v>
      </c>
      <c r="I161" s="121"/>
    </row>
    <row r="162" spans="2:9" ht="29.1" hidden="1" outlineLevel="2">
      <c r="B162" s="405"/>
      <c r="C162" s="116" t="s">
        <v>243</v>
      </c>
      <c r="D162" s="143" t="s">
        <v>239</v>
      </c>
      <c r="E162" s="124"/>
      <c r="F162" s="135">
        <v>0</v>
      </c>
      <c r="G162" s="26">
        <f t="shared" si="6"/>
        <v>0</v>
      </c>
      <c r="H162" s="26">
        <f t="shared" si="7"/>
        <v>0</v>
      </c>
      <c r="I162" s="121"/>
    </row>
    <row r="163" spans="2:9" ht="29.1" hidden="1" outlineLevel="2">
      <c r="B163" s="405"/>
      <c r="C163" s="56" t="s">
        <v>244</v>
      </c>
      <c r="D163" s="143" t="s">
        <v>239</v>
      </c>
      <c r="E163" s="124"/>
      <c r="F163" s="135">
        <v>0</v>
      </c>
      <c r="G163" s="26">
        <f t="shared" si="6"/>
        <v>0</v>
      </c>
      <c r="H163" s="26">
        <f t="shared" si="7"/>
        <v>0</v>
      </c>
      <c r="I163" s="121"/>
    </row>
    <row r="164" spans="2:9" ht="29.1" hidden="1" outlineLevel="2">
      <c r="B164" s="405"/>
      <c r="C164" s="117" t="s">
        <v>245</v>
      </c>
      <c r="D164" s="143" t="s">
        <v>239</v>
      </c>
      <c r="E164" s="124"/>
      <c r="F164" s="135">
        <v>0</v>
      </c>
      <c r="G164" s="26">
        <f t="shared" si="6"/>
        <v>0</v>
      </c>
      <c r="H164" s="26">
        <f t="shared" si="7"/>
        <v>0</v>
      </c>
      <c r="I164" s="121"/>
    </row>
    <row r="165" spans="2:9" ht="29.1" hidden="1" outlineLevel="2">
      <c r="B165" s="405"/>
      <c r="C165" s="117" t="s">
        <v>246</v>
      </c>
      <c r="D165" s="143" t="s">
        <v>239</v>
      </c>
      <c r="E165" s="124"/>
      <c r="F165" s="135">
        <v>0</v>
      </c>
      <c r="G165" s="26">
        <f t="shared" si="6"/>
        <v>0</v>
      </c>
      <c r="H165" s="26">
        <f t="shared" si="7"/>
        <v>0</v>
      </c>
      <c r="I165" s="121"/>
    </row>
    <row r="166" spans="2:9" hidden="1" outlineLevel="2">
      <c r="B166" s="406"/>
      <c r="C166" s="117" t="s">
        <v>247</v>
      </c>
      <c r="D166" s="95" t="s">
        <v>125</v>
      </c>
      <c r="E166" s="124"/>
      <c r="F166" s="135">
        <v>0</v>
      </c>
      <c r="G166" s="97"/>
      <c r="H166" s="26">
        <f>IF(AND($E$154=YearWithinRange,E166=Yes),F166,)</f>
        <v>0</v>
      </c>
      <c r="I166" s="121"/>
    </row>
    <row r="167" spans="2:9" hidden="1" outlineLevel="2"/>
    <row r="168" spans="2:9" hidden="1" outlineLevel="2">
      <c r="C168" s="27" t="s">
        <v>248</v>
      </c>
      <c r="D168" s="27" t="s">
        <v>99</v>
      </c>
      <c r="E168" s="27" t="s">
        <v>100</v>
      </c>
      <c r="F168" s="28" t="s">
        <v>249</v>
      </c>
      <c r="G168" s="27" t="s">
        <v>231</v>
      </c>
    </row>
    <row r="169" spans="2:9" hidden="1" outlineLevel="2">
      <c r="C169" s="199" t="s">
        <v>250</v>
      </c>
      <c r="D169" s="95" t="s">
        <v>125</v>
      </c>
      <c r="E169" s="124"/>
      <c r="F169" s="137"/>
      <c r="G169" s="58">
        <f>IF(AND($E$154=YearWithinRange,E169=Yes),F169,)</f>
        <v>0</v>
      </c>
    </row>
    <row r="170" spans="2:9" hidden="1" outlineLevel="2">
      <c r="C170" s="199" t="s">
        <v>251</v>
      </c>
      <c r="D170" s="95" t="s">
        <v>125</v>
      </c>
      <c r="E170" s="124"/>
      <c r="F170" s="137"/>
      <c r="G170" s="58">
        <f>IF(AND($E$154=YearWithinRange,E170=Yes),F170,)</f>
        <v>0</v>
      </c>
    </row>
    <row r="171" spans="2:9" hidden="1" outlineLevel="2">
      <c r="C171" s="199" t="s">
        <v>252</v>
      </c>
      <c r="D171" s="95" t="s">
        <v>125</v>
      </c>
      <c r="E171" s="124"/>
      <c r="F171" s="137"/>
      <c r="G171" s="58">
        <f>IF(AND($E$154=YearWithinRange,E171=Yes),F171,)</f>
        <v>0</v>
      </c>
    </row>
    <row r="172" spans="2:9" hidden="1" outlineLevel="2">
      <c r="C172" s="199" t="s">
        <v>253</v>
      </c>
      <c r="D172" s="95" t="s">
        <v>125</v>
      </c>
      <c r="E172" s="124"/>
      <c r="F172" s="137"/>
      <c r="G172" s="58">
        <f>IF(AND($E$154=YearWithinRange,E172=Yes),F172,)</f>
        <v>0</v>
      </c>
    </row>
    <row r="173" spans="2:9" hidden="1" outlineLevel="2">
      <c r="C173" s="199" t="s">
        <v>254</v>
      </c>
      <c r="D173" s="95" t="s">
        <v>125</v>
      </c>
      <c r="E173" s="124"/>
      <c r="F173" s="137"/>
      <c r="G173" s="58">
        <f>IF(AND($E$154=YearWithinRange,E173=Yes),F173,)</f>
        <v>0</v>
      </c>
    </row>
    <row r="174" spans="2:9" hidden="1" outlineLevel="1" collapsed="1"/>
    <row r="175" spans="2:9" ht="27.6" hidden="1" customHeight="1" outlineLevel="1">
      <c r="C175" s="102" t="s">
        <v>255</v>
      </c>
      <c r="D175" s="37">
        <f>$E$147+1</f>
        <v>2026</v>
      </c>
      <c r="E175" s="119" t="str">
        <f>IF(OR(D175&lt;$E$147,D175&gt;$F$147),"NOT INCLUDED - YEAR NOT WITHIN RANGE","YEAR WITHIN RANGE")</f>
        <v>YEAR WITHIN RANGE</v>
      </c>
    </row>
    <row r="176" spans="2:9" hidden="1" outlineLevel="2">
      <c r="B176" s="119" t="s">
        <v>97</v>
      </c>
      <c r="C176" s="27" t="s">
        <v>228</v>
      </c>
      <c r="D176" s="28" t="s">
        <v>99</v>
      </c>
      <c r="E176" s="27" t="s">
        <v>100</v>
      </c>
      <c r="F176" s="27" t="s">
        <v>229</v>
      </c>
      <c r="G176" s="27" t="s">
        <v>230</v>
      </c>
      <c r="H176" s="27" t="s">
        <v>231</v>
      </c>
    </row>
    <row r="177" spans="2:9" hidden="1" outlineLevel="2">
      <c r="B177" s="407" t="s">
        <v>232</v>
      </c>
      <c r="C177" s="116" t="s">
        <v>233</v>
      </c>
      <c r="D177" s="408" t="s">
        <v>234</v>
      </c>
      <c r="E177" s="410"/>
      <c r="F177" s="142">
        <v>0</v>
      </c>
      <c r="G177" s="147">
        <f>IF(E177=Yes,F177,0)</f>
        <v>0</v>
      </c>
      <c r="H177" s="402">
        <f>IF(AND($E$175=YearWithinRange,E177=Yes),G177*G178,)</f>
        <v>0</v>
      </c>
    </row>
    <row r="178" spans="2:9" hidden="1" outlineLevel="2">
      <c r="B178" s="407"/>
      <c r="C178" s="116" t="s">
        <v>235</v>
      </c>
      <c r="D178" s="409"/>
      <c r="E178" s="411"/>
      <c r="F178" s="135">
        <v>0</v>
      </c>
      <c r="G178" s="26">
        <f>IF(E177=Yes,F178,0)</f>
        <v>0</v>
      </c>
      <c r="H178" s="403"/>
    </row>
    <row r="179" spans="2:9" ht="29.1" hidden="1" outlineLevel="2">
      <c r="B179" s="404" t="s">
        <v>236</v>
      </c>
      <c r="C179" s="117" t="s">
        <v>237</v>
      </c>
      <c r="D179" s="95" t="s">
        <v>125</v>
      </c>
      <c r="E179" s="124"/>
      <c r="F179" s="135">
        <v>0</v>
      </c>
      <c r="G179" s="97"/>
      <c r="H179" s="26">
        <f>IF(AND($E$175=YearWithinRange,E179=Yes),F179,)</f>
        <v>0</v>
      </c>
      <c r="I179" s="121"/>
    </row>
    <row r="180" spans="2:9" ht="29.1" hidden="1" customHeight="1" outlineLevel="2">
      <c r="B180" s="405"/>
      <c r="C180" s="117" t="s">
        <v>238</v>
      </c>
      <c r="D180" s="143" t="s">
        <v>239</v>
      </c>
      <c r="E180" s="124"/>
      <c r="F180" s="135">
        <v>0</v>
      </c>
      <c r="G180" s="26">
        <f t="shared" ref="G180:G186" si="8">IF(E180=Yes,F180,0)</f>
        <v>0</v>
      </c>
      <c r="H180" s="26">
        <f t="shared" ref="H180:H186" si="9">IF(AND($E$154=YearWithinRange,E180=Yes),G180*$D$3,)</f>
        <v>0</v>
      </c>
      <c r="I180" s="121"/>
    </row>
    <row r="181" spans="2:9" ht="29.1" hidden="1" outlineLevel="2">
      <c r="B181" s="405"/>
      <c r="C181" s="116" t="s">
        <v>240</v>
      </c>
      <c r="D181" s="143" t="s">
        <v>241</v>
      </c>
      <c r="E181" s="124"/>
      <c r="F181" s="135">
        <v>0</v>
      </c>
      <c r="G181" s="26">
        <f t="shared" si="8"/>
        <v>0</v>
      </c>
      <c r="H181" s="26">
        <f t="shared" si="9"/>
        <v>0</v>
      </c>
      <c r="I181" s="121"/>
    </row>
    <row r="182" spans="2:9" ht="29.1" hidden="1" outlineLevel="2">
      <c r="B182" s="405"/>
      <c r="C182" s="116" t="s">
        <v>242</v>
      </c>
      <c r="D182" s="143" t="s">
        <v>239</v>
      </c>
      <c r="E182" s="124"/>
      <c r="F182" s="135">
        <v>0</v>
      </c>
      <c r="G182" s="26">
        <f t="shared" si="8"/>
        <v>0</v>
      </c>
      <c r="H182" s="26">
        <f t="shared" si="9"/>
        <v>0</v>
      </c>
      <c r="I182" s="121"/>
    </row>
    <row r="183" spans="2:9" ht="29.1" hidden="1" outlineLevel="2">
      <c r="B183" s="405"/>
      <c r="C183" s="116" t="s">
        <v>243</v>
      </c>
      <c r="D183" s="143" t="s">
        <v>239</v>
      </c>
      <c r="E183" s="124"/>
      <c r="F183" s="135">
        <v>0</v>
      </c>
      <c r="G183" s="26">
        <f t="shared" si="8"/>
        <v>0</v>
      </c>
      <c r="H183" s="26">
        <f t="shared" si="9"/>
        <v>0</v>
      </c>
      <c r="I183" s="121"/>
    </row>
    <row r="184" spans="2:9" ht="29.1" hidden="1" outlineLevel="2">
      <c r="B184" s="405"/>
      <c r="C184" s="56" t="s">
        <v>244</v>
      </c>
      <c r="D184" s="143" t="s">
        <v>239</v>
      </c>
      <c r="E184" s="124"/>
      <c r="F184" s="135">
        <v>0</v>
      </c>
      <c r="G184" s="26">
        <f t="shared" si="8"/>
        <v>0</v>
      </c>
      <c r="H184" s="26">
        <f t="shared" si="9"/>
        <v>0</v>
      </c>
      <c r="I184" s="121"/>
    </row>
    <row r="185" spans="2:9" ht="29.1" hidden="1" outlineLevel="2">
      <c r="B185" s="405"/>
      <c r="C185" s="117" t="s">
        <v>245</v>
      </c>
      <c r="D185" s="143" t="s">
        <v>239</v>
      </c>
      <c r="E185" s="124"/>
      <c r="F185" s="135">
        <v>0</v>
      </c>
      <c r="G185" s="26">
        <f t="shared" si="8"/>
        <v>0</v>
      </c>
      <c r="H185" s="26">
        <f t="shared" si="9"/>
        <v>0</v>
      </c>
      <c r="I185" s="121"/>
    </row>
    <row r="186" spans="2:9" ht="29.1" hidden="1" outlineLevel="2">
      <c r="B186" s="405"/>
      <c r="C186" s="117" t="s">
        <v>246</v>
      </c>
      <c r="D186" s="143" t="s">
        <v>239</v>
      </c>
      <c r="E186" s="124"/>
      <c r="F186" s="135">
        <v>0</v>
      </c>
      <c r="G186" s="26">
        <f t="shared" si="8"/>
        <v>0</v>
      </c>
      <c r="H186" s="26">
        <f t="shared" si="9"/>
        <v>0</v>
      </c>
      <c r="I186" s="121"/>
    </row>
    <row r="187" spans="2:9" hidden="1" outlineLevel="2">
      <c r="B187" s="406"/>
      <c r="C187" s="117" t="s">
        <v>247</v>
      </c>
      <c r="D187" s="95" t="s">
        <v>125</v>
      </c>
      <c r="E187" s="124"/>
      <c r="F187" s="135">
        <v>0</v>
      </c>
      <c r="G187" s="97"/>
      <c r="H187" s="26">
        <f>IF(AND($E$175=YearWithinRange,E187=Yes),F187,)</f>
        <v>0</v>
      </c>
      <c r="I187" s="121"/>
    </row>
    <row r="188" spans="2:9" hidden="1" outlineLevel="2">
      <c r="I188" s="121"/>
    </row>
    <row r="189" spans="2:9" hidden="1" outlineLevel="2">
      <c r="C189" s="27" t="s">
        <v>256</v>
      </c>
      <c r="D189" s="27" t="s">
        <v>99</v>
      </c>
      <c r="E189" s="27" t="s">
        <v>100</v>
      </c>
      <c r="F189" s="28" t="s">
        <v>249</v>
      </c>
      <c r="G189" s="27" t="s">
        <v>231</v>
      </c>
    </row>
    <row r="190" spans="2:9" hidden="1" outlineLevel="2">
      <c r="C190" s="199" t="s">
        <v>257</v>
      </c>
      <c r="D190" s="95" t="s">
        <v>125</v>
      </c>
      <c r="E190" s="124"/>
      <c r="F190" s="137"/>
      <c r="G190" s="58">
        <f>IF(AND($E$175=YearWithinRange,E190=Yes),F190,)</f>
        <v>0</v>
      </c>
    </row>
    <row r="191" spans="2:9" hidden="1" outlineLevel="2">
      <c r="C191" s="199" t="s">
        <v>251</v>
      </c>
      <c r="D191" s="95" t="s">
        <v>125</v>
      </c>
      <c r="E191" s="124"/>
      <c r="F191" s="137"/>
      <c r="G191" s="58">
        <f>IF(AND($E$175=YearWithinRange,E191=Yes),F191,)</f>
        <v>0</v>
      </c>
    </row>
    <row r="192" spans="2:9" hidden="1" outlineLevel="2">
      <c r="C192" s="199" t="s">
        <v>252</v>
      </c>
      <c r="D192" s="95" t="s">
        <v>125</v>
      </c>
      <c r="E192" s="124"/>
      <c r="F192" s="137"/>
      <c r="G192" s="58">
        <f>IF(AND($E$175=YearWithinRange,E192=Yes),F192,)</f>
        <v>0</v>
      </c>
    </row>
    <row r="193" spans="2:9" hidden="1" outlineLevel="2">
      <c r="C193" s="199" t="s">
        <v>253</v>
      </c>
      <c r="D193" s="95" t="s">
        <v>125</v>
      </c>
      <c r="E193" s="124"/>
      <c r="F193" s="137"/>
      <c r="G193" s="58">
        <f>IF(AND($E$175=YearWithinRange,E193=Yes),F193,)</f>
        <v>0</v>
      </c>
    </row>
    <row r="194" spans="2:9" hidden="1" outlineLevel="2">
      <c r="C194" s="199" t="s">
        <v>254</v>
      </c>
      <c r="D194" s="95" t="s">
        <v>125</v>
      </c>
      <c r="E194" s="124"/>
      <c r="F194" s="137"/>
      <c r="G194" s="58">
        <f>IF(AND($E$175=YearWithinRange,E194=Yes),F194,)</f>
        <v>0</v>
      </c>
    </row>
    <row r="195" spans="2:9" hidden="1" outlineLevel="1" collapsed="1"/>
    <row r="196" spans="2:9" ht="27.6" hidden="1" customHeight="1" outlineLevel="1">
      <c r="C196" s="102" t="s">
        <v>258</v>
      </c>
      <c r="D196" s="37">
        <f>$E$147+2</f>
        <v>2027</v>
      </c>
      <c r="E196" s="119" t="str">
        <f>IF(OR(D196&lt;$E$147,D196&gt;$F$147),"NOT INCLUDED - YEAR NOT WITHIN RANGE","YEAR WITHIN RANGE")</f>
        <v>YEAR WITHIN RANGE</v>
      </c>
    </row>
    <row r="197" spans="2:9" hidden="1" outlineLevel="2">
      <c r="B197" s="119" t="s">
        <v>97</v>
      </c>
      <c r="C197" s="27" t="s">
        <v>228</v>
      </c>
      <c r="D197" s="28" t="s">
        <v>99</v>
      </c>
      <c r="E197" s="27" t="s">
        <v>100</v>
      </c>
      <c r="F197" s="27" t="s">
        <v>229</v>
      </c>
      <c r="G197" s="27" t="s">
        <v>230</v>
      </c>
      <c r="H197" s="27" t="s">
        <v>231</v>
      </c>
    </row>
    <row r="198" spans="2:9" hidden="1" outlineLevel="2">
      <c r="B198" s="407" t="s">
        <v>232</v>
      </c>
      <c r="C198" s="116" t="s">
        <v>233</v>
      </c>
      <c r="D198" s="408" t="s">
        <v>234</v>
      </c>
      <c r="E198" s="410"/>
      <c r="F198" s="142">
        <v>0</v>
      </c>
      <c r="G198" s="147">
        <f>IF(E198=Yes,F198,0)</f>
        <v>0</v>
      </c>
      <c r="H198" s="402">
        <f>IF(AND($E$196=YearWithinRange,E198=Yes),G198*G199,)</f>
        <v>0</v>
      </c>
    </row>
    <row r="199" spans="2:9" hidden="1" outlineLevel="2">
      <c r="B199" s="407"/>
      <c r="C199" s="116" t="s">
        <v>235</v>
      </c>
      <c r="D199" s="409"/>
      <c r="E199" s="411"/>
      <c r="F199" s="135">
        <v>0</v>
      </c>
      <c r="G199" s="26">
        <f>IF(E198=Yes,F199,0)</f>
        <v>0</v>
      </c>
      <c r="H199" s="403"/>
    </row>
    <row r="200" spans="2:9" ht="29.1" hidden="1" outlineLevel="2">
      <c r="B200" s="404" t="s">
        <v>236</v>
      </c>
      <c r="C200" s="117" t="s">
        <v>237</v>
      </c>
      <c r="D200" s="95" t="s">
        <v>125</v>
      </c>
      <c r="E200" s="124"/>
      <c r="F200" s="135">
        <v>0</v>
      </c>
      <c r="G200" s="97"/>
      <c r="H200" s="26">
        <f>IF(AND($E$196=YearWithinRange,E200=Yes),F200,)</f>
        <v>0</v>
      </c>
      <c r="I200" s="121"/>
    </row>
    <row r="201" spans="2:9" ht="29.1" hidden="1" customHeight="1" outlineLevel="2">
      <c r="B201" s="405"/>
      <c r="C201" s="117" t="s">
        <v>238</v>
      </c>
      <c r="D201" s="143" t="s">
        <v>239</v>
      </c>
      <c r="E201" s="124"/>
      <c r="F201" s="135">
        <v>0</v>
      </c>
      <c r="G201" s="26">
        <f t="shared" ref="G201:G207" si="10">IF(E201=Yes,F201,0)</f>
        <v>0</v>
      </c>
      <c r="H201" s="26">
        <f t="shared" ref="H201:H207" si="11">IF(AND($E$154=YearWithinRange,E201=Yes),G201*$D$3,)</f>
        <v>0</v>
      </c>
      <c r="I201" s="121"/>
    </row>
    <row r="202" spans="2:9" ht="29.1" hidden="1" outlineLevel="2">
      <c r="B202" s="405"/>
      <c r="C202" s="116" t="s">
        <v>240</v>
      </c>
      <c r="D202" s="143" t="s">
        <v>241</v>
      </c>
      <c r="E202" s="124"/>
      <c r="F202" s="135">
        <v>0</v>
      </c>
      <c r="G202" s="26">
        <f t="shared" si="10"/>
        <v>0</v>
      </c>
      <c r="H202" s="26">
        <f t="shared" si="11"/>
        <v>0</v>
      </c>
      <c r="I202" s="121"/>
    </row>
    <row r="203" spans="2:9" ht="29.1" hidden="1" outlineLevel="2">
      <c r="B203" s="405"/>
      <c r="C203" s="116" t="s">
        <v>242</v>
      </c>
      <c r="D203" s="143" t="s">
        <v>239</v>
      </c>
      <c r="E203" s="124"/>
      <c r="F203" s="135">
        <v>0</v>
      </c>
      <c r="G203" s="26">
        <f t="shared" si="10"/>
        <v>0</v>
      </c>
      <c r="H203" s="26">
        <f t="shared" si="11"/>
        <v>0</v>
      </c>
      <c r="I203" s="121"/>
    </row>
    <row r="204" spans="2:9" ht="29.1" hidden="1" outlineLevel="2">
      <c r="B204" s="405"/>
      <c r="C204" s="116" t="s">
        <v>243</v>
      </c>
      <c r="D204" s="143" t="s">
        <v>239</v>
      </c>
      <c r="E204" s="124"/>
      <c r="F204" s="135">
        <v>0</v>
      </c>
      <c r="G204" s="26">
        <f t="shared" si="10"/>
        <v>0</v>
      </c>
      <c r="H204" s="26">
        <f t="shared" si="11"/>
        <v>0</v>
      </c>
      <c r="I204" s="121"/>
    </row>
    <row r="205" spans="2:9" ht="29.1" hidden="1" outlineLevel="2">
      <c r="B205" s="405"/>
      <c r="C205" s="56" t="s">
        <v>244</v>
      </c>
      <c r="D205" s="143" t="s">
        <v>239</v>
      </c>
      <c r="E205" s="124"/>
      <c r="F205" s="135">
        <v>0</v>
      </c>
      <c r="G205" s="26">
        <f t="shared" si="10"/>
        <v>0</v>
      </c>
      <c r="H205" s="26">
        <f t="shared" si="11"/>
        <v>0</v>
      </c>
      <c r="I205" s="121"/>
    </row>
    <row r="206" spans="2:9" ht="29.1" hidden="1" outlineLevel="2">
      <c r="B206" s="405"/>
      <c r="C206" s="117" t="s">
        <v>245</v>
      </c>
      <c r="D206" s="143" t="s">
        <v>239</v>
      </c>
      <c r="E206" s="124"/>
      <c r="F206" s="135">
        <v>0</v>
      </c>
      <c r="G206" s="26">
        <f t="shared" si="10"/>
        <v>0</v>
      </c>
      <c r="H206" s="26">
        <f t="shared" si="11"/>
        <v>0</v>
      </c>
      <c r="I206" s="121"/>
    </row>
    <row r="207" spans="2:9" ht="29.1" hidden="1" outlineLevel="2">
      <c r="B207" s="405"/>
      <c r="C207" s="117" t="s">
        <v>246</v>
      </c>
      <c r="D207" s="143" t="s">
        <v>239</v>
      </c>
      <c r="E207" s="124"/>
      <c r="F207" s="135">
        <v>0</v>
      </c>
      <c r="G207" s="26">
        <f t="shared" si="10"/>
        <v>0</v>
      </c>
      <c r="H207" s="26">
        <f t="shared" si="11"/>
        <v>0</v>
      </c>
      <c r="I207" s="121"/>
    </row>
    <row r="208" spans="2:9" hidden="1" outlineLevel="2">
      <c r="B208" s="406"/>
      <c r="C208" s="117" t="s">
        <v>247</v>
      </c>
      <c r="D208" s="95" t="s">
        <v>125</v>
      </c>
      <c r="E208" s="124"/>
      <c r="F208" s="135">
        <v>0</v>
      </c>
      <c r="G208" s="97"/>
      <c r="H208" s="26">
        <f>IF(AND($E$196=YearWithinRange,E208=Yes),F208,)</f>
        <v>0</v>
      </c>
      <c r="I208" s="121"/>
    </row>
    <row r="209" spans="2:9" customFormat="1" hidden="1" outlineLevel="2">
      <c r="E209" s="106"/>
      <c r="F209" s="106"/>
    </row>
    <row r="210" spans="2:9" hidden="1" outlineLevel="2">
      <c r="C210" s="27" t="s">
        <v>259</v>
      </c>
      <c r="D210" s="27" t="s">
        <v>99</v>
      </c>
      <c r="E210" s="27" t="s">
        <v>100</v>
      </c>
      <c r="F210" s="28" t="s">
        <v>249</v>
      </c>
      <c r="G210" s="27" t="s">
        <v>231</v>
      </c>
    </row>
    <row r="211" spans="2:9" hidden="1" outlineLevel="2">
      <c r="C211" s="199" t="s">
        <v>257</v>
      </c>
      <c r="D211" s="95" t="s">
        <v>125</v>
      </c>
      <c r="E211" s="124"/>
      <c r="F211" s="137"/>
      <c r="G211" s="58">
        <f>IF(AND($E$196=YearWithinRange,E211=Yes),F211,)</f>
        <v>0</v>
      </c>
    </row>
    <row r="212" spans="2:9" hidden="1" outlineLevel="2">
      <c r="C212" s="199" t="s">
        <v>251</v>
      </c>
      <c r="D212" s="95" t="s">
        <v>125</v>
      </c>
      <c r="E212" s="124"/>
      <c r="F212" s="137"/>
      <c r="G212" s="58">
        <f>IF(AND($E$196=YearWithinRange,E212=Yes),F212,)</f>
        <v>0</v>
      </c>
    </row>
    <row r="213" spans="2:9" hidden="1" outlineLevel="2">
      <c r="C213" s="199" t="s">
        <v>252</v>
      </c>
      <c r="D213" s="95" t="s">
        <v>125</v>
      </c>
      <c r="E213" s="124"/>
      <c r="F213" s="137"/>
      <c r="G213" s="58">
        <f>IF(AND($E$196=YearWithinRange,E213=Yes),F213,)</f>
        <v>0</v>
      </c>
    </row>
    <row r="214" spans="2:9" hidden="1" outlineLevel="2">
      <c r="C214" s="199" t="s">
        <v>253</v>
      </c>
      <c r="D214" s="95" t="s">
        <v>125</v>
      </c>
      <c r="E214" s="124"/>
      <c r="F214" s="137"/>
      <c r="G214" s="58">
        <f>IF(AND($E$196=YearWithinRange,E214=Yes),F214,)</f>
        <v>0</v>
      </c>
    </row>
    <row r="215" spans="2:9" hidden="1" outlineLevel="2">
      <c r="C215" s="199" t="s">
        <v>254</v>
      </c>
      <c r="D215" s="95" t="s">
        <v>125</v>
      </c>
      <c r="E215" s="124"/>
      <c r="F215" s="137"/>
      <c r="G215" s="58">
        <f>IF(AND($E$196=YearWithinRange,E215=Yes),F215,)</f>
        <v>0</v>
      </c>
    </row>
    <row r="216" spans="2:9" hidden="1" outlineLevel="1" collapsed="1">
      <c r="I216" s="121"/>
    </row>
    <row r="217" spans="2:9" ht="27.6" hidden="1" customHeight="1" outlineLevel="1">
      <c r="C217" s="102" t="s">
        <v>260</v>
      </c>
      <c r="D217" s="37">
        <f>$E$147+3</f>
        <v>2028</v>
      </c>
      <c r="E217" s="119" t="str">
        <f>IF(OR(D217&lt;$E$147,D217&gt;$F$147),"NOT INCLUDED - YEAR NOT WITHIN RANGE","YEAR WITHIN RANGE")</f>
        <v>YEAR WITHIN RANGE</v>
      </c>
    </row>
    <row r="218" spans="2:9" hidden="1" outlineLevel="2">
      <c r="B218" s="119" t="s">
        <v>97</v>
      </c>
      <c r="C218" s="27" t="s">
        <v>228</v>
      </c>
      <c r="D218" s="28" t="s">
        <v>99</v>
      </c>
      <c r="E218" s="27" t="s">
        <v>100</v>
      </c>
      <c r="F218" s="27" t="s">
        <v>229</v>
      </c>
      <c r="G218" s="27" t="s">
        <v>230</v>
      </c>
      <c r="H218" s="27" t="s">
        <v>231</v>
      </c>
    </row>
    <row r="219" spans="2:9" hidden="1" outlineLevel="2">
      <c r="B219" s="407" t="s">
        <v>232</v>
      </c>
      <c r="C219" s="116" t="s">
        <v>233</v>
      </c>
      <c r="D219" s="408" t="s">
        <v>234</v>
      </c>
      <c r="E219" s="410"/>
      <c r="F219" s="142">
        <v>0</v>
      </c>
      <c r="G219" s="147">
        <f>IF(E219=Yes,F219,0)</f>
        <v>0</v>
      </c>
      <c r="H219" s="402">
        <f>IF(AND($E$217=YearWithinRange,E219=Yes),G219*G220,)</f>
        <v>0</v>
      </c>
    </row>
    <row r="220" spans="2:9" hidden="1" outlineLevel="2">
      <c r="B220" s="407"/>
      <c r="C220" s="116" t="s">
        <v>235</v>
      </c>
      <c r="D220" s="409"/>
      <c r="E220" s="411"/>
      <c r="F220" s="135">
        <v>0</v>
      </c>
      <c r="G220" s="26">
        <f>IF(E219=Yes,F220,0)</f>
        <v>0</v>
      </c>
      <c r="H220" s="403"/>
    </row>
    <row r="221" spans="2:9" ht="29.1" hidden="1" outlineLevel="2">
      <c r="B221" s="404" t="s">
        <v>236</v>
      </c>
      <c r="C221" s="117" t="s">
        <v>237</v>
      </c>
      <c r="D221" s="95" t="s">
        <v>125</v>
      </c>
      <c r="E221" s="124"/>
      <c r="F221" s="135">
        <v>0</v>
      </c>
      <c r="G221" s="97"/>
      <c r="H221" s="26">
        <f>IF(AND($E$217=YearWithinRange,E221=Yes),F221,)</f>
        <v>0</v>
      </c>
      <c r="I221" s="121"/>
    </row>
    <row r="222" spans="2:9" ht="29.1" hidden="1" customHeight="1" outlineLevel="2">
      <c r="B222" s="405"/>
      <c r="C222" s="117" t="s">
        <v>238</v>
      </c>
      <c r="D222" s="143" t="s">
        <v>239</v>
      </c>
      <c r="E222" s="124"/>
      <c r="F222" s="135">
        <v>0</v>
      </c>
      <c r="G222" s="26">
        <f t="shared" ref="G222:G228" si="12">IF(E222=Yes,F222,0)</f>
        <v>0</v>
      </c>
      <c r="H222" s="26">
        <f t="shared" ref="H222:H228" si="13">IF(AND($E$154=YearWithinRange,E222=Yes),G222*$D$3,)</f>
        <v>0</v>
      </c>
      <c r="I222" s="121"/>
    </row>
    <row r="223" spans="2:9" ht="29.1" hidden="1" outlineLevel="2">
      <c r="B223" s="405"/>
      <c r="C223" s="116" t="s">
        <v>240</v>
      </c>
      <c r="D223" s="143" t="s">
        <v>241</v>
      </c>
      <c r="E223" s="124"/>
      <c r="F223" s="135">
        <v>0</v>
      </c>
      <c r="G223" s="26">
        <f t="shared" si="12"/>
        <v>0</v>
      </c>
      <c r="H223" s="26">
        <f t="shared" si="13"/>
        <v>0</v>
      </c>
      <c r="I223" s="121"/>
    </row>
    <row r="224" spans="2:9" ht="29.1" hidden="1" outlineLevel="2">
      <c r="B224" s="405"/>
      <c r="C224" s="116" t="s">
        <v>242</v>
      </c>
      <c r="D224" s="143" t="s">
        <v>239</v>
      </c>
      <c r="E224" s="124"/>
      <c r="F224" s="135">
        <v>0</v>
      </c>
      <c r="G224" s="26">
        <f t="shared" si="12"/>
        <v>0</v>
      </c>
      <c r="H224" s="26">
        <f t="shared" si="13"/>
        <v>0</v>
      </c>
      <c r="I224" s="121"/>
    </row>
    <row r="225" spans="2:9" ht="29.1" hidden="1" outlineLevel="2">
      <c r="B225" s="405"/>
      <c r="C225" s="116" t="s">
        <v>243</v>
      </c>
      <c r="D225" s="143" t="s">
        <v>239</v>
      </c>
      <c r="E225" s="124"/>
      <c r="F225" s="135">
        <v>0</v>
      </c>
      <c r="G225" s="26">
        <f t="shared" si="12"/>
        <v>0</v>
      </c>
      <c r="H225" s="26">
        <f t="shared" si="13"/>
        <v>0</v>
      </c>
      <c r="I225" s="121"/>
    </row>
    <row r="226" spans="2:9" ht="29.1" hidden="1" outlineLevel="2">
      <c r="B226" s="405"/>
      <c r="C226" s="56" t="s">
        <v>244</v>
      </c>
      <c r="D226" s="143" t="s">
        <v>239</v>
      </c>
      <c r="E226" s="124"/>
      <c r="F226" s="135">
        <v>0</v>
      </c>
      <c r="G226" s="26">
        <f t="shared" si="12"/>
        <v>0</v>
      </c>
      <c r="H226" s="26">
        <f t="shared" si="13"/>
        <v>0</v>
      </c>
      <c r="I226" s="121"/>
    </row>
    <row r="227" spans="2:9" ht="29.1" hidden="1" outlineLevel="2">
      <c r="B227" s="405"/>
      <c r="C227" s="117" t="s">
        <v>245</v>
      </c>
      <c r="D227" s="143" t="s">
        <v>239</v>
      </c>
      <c r="E227" s="124"/>
      <c r="F227" s="135">
        <v>0</v>
      </c>
      <c r="G227" s="26">
        <f t="shared" si="12"/>
        <v>0</v>
      </c>
      <c r="H227" s="26">
        <f t="shared" si="13"/>
        <v>0</v>
      </c>
      <c r="I227" s="121"/>
    </row>
    <row r="228" spans="2:9" ht="29.1" hidden="1" outlineLevel="2">
      <c r="B228" s="405"/>
      <c r="C228" s="117" t="s">
        <v>246</v>
      </c>
      <c r="D228" s="143" t="s">
        <v>239</v>
      </c>
      <c r="E228" s="124"/>
      <c r="F228" s="135">
        <v>0</v>
      </c>
      <c r="G228" s="26">
        <f t="shared" si="12"/>
        <v>0</v>
      </c>
      <c r="H228" s="26">
        <f t="shared" si="13"/>
        <v>0</v>
      </c>
      <c r="I228" s="121"/>
    </row>
    <row r="229" spans="2:9" hidden="1" outlineLevel="2">
      <c r="B229" s="406"/>
      <c r="C229" s="117" t="s">
        <v>247</v>
      </c>
      <c r="D229" s="95" t="s">
        <v>125</v>
      </c>
      <c r="E229" s="124"/>
      <c r="F229" s="135">
        <v>0</v>
      </c>
      <c r="G229" s="97"/>
      <c r="H229" s="26">
        <f>IF(AND($E$217=YearWithinRange,E229=Yes),F229,)</f>
        <v>0</v>
      </c>
      <c r="I229" s="121"/>
    </row>
    <row r="230" spans="2:9" customFormat="1" hidden="1" outlineLevel="2">
      <c r="E230" s="106"/>
      <c r="F230" s="106"/>
    </row>
    <row r="231" spans="2:9" hidden="1" outlineLevel="2">
      <c r="C231" s="27" t="s">
        <v>261</v>
      </c>
      <c r="D231" s="27" t="s">
        <v>99</v>
      </c>
      <c r="E231" s="27" t="s">
        <v>100</v>
      </c>
      <c r="F231" s="28" t="s">
        <v>249</v>
      </c>
      <c r="G231" s="27" t="s">
        <v>231</v>
      </c>
    </row>
    <row r="232" spans="2:9" hidden="1" outlineLevel="2">
      <c r="C232" s="199" t="s">
        <v>257</v>
      </c>
      <c r="D232" s="95" t="s">
        <v>125</v>
      </c>
      <c r="E232" s="124"/>
      <c r="F232" s="137"/>
      <c r="G232" s="58">
        <f>IF(AND($E$217=YearWithinRange,E232=Yes),F232,)</f>
        <v>0</v>
      </c>
    </row>
    <row r="233" spans="2:9" hidden="1" outlineLevel="2">
      <c r="C233" s="199" t="s">
        <v>251</v>
      </c>
      <c r="D233" s="95" t="s">
        <v>125</v>
      </c>
      <c r="E233" s="124"/>
      <c r="F233" s="137"/>
      <c r="G233" s="58">
        <f>IF(AND($E$217=YearWithinRange,E233=Yes),F233,)</f>
        <v>0</v>
      </c>
    </row>
    <row r="234" spans="2:9" hidden="1" outlineLevel="2">
      <c r="C234" s="199" t="s">
        <v>252</v>
      </c>
      <c r="D234" s="95" t="s">
        <v>125</v>
      </c>
      <c r="E234" s="124"/>
      <c r="F234" s="137"/>
      <c r="G234" s="58">
        <f>IF(AND($E$217=YearWithinRange,E234=Yes),F234,)</f>
        <v>0</v>
      </c>
    </row>
    <row r="235" spans="2:9" hidden="1" outlineLevel="2">
      <c r="C235" s="199" t="s">
        <v>253</v>
      </c>
      <c r="D235" s="95" t="s">
        <v>125</v>
      </c>
      <c r="E235" s="124"/>
      <c r="F235" s="137"/>
      <c r="G235" s="58">
        <f>IF(AND($E$217=YearWithinRange,E235=Yes),F235,)</f>
        <v>0</v>
      </c>
    </row>
    <row r="236" spans="2:9" hidden="1" outlineLevel="2">
      <c r="C236" s="199" t="s">
        <v>254</v>
      </c>
      <c r="D236" s="95" t="s">
        <v>125</v>
      </c>
      <c r="E236" s="124"/>
      <c r="F236" s="137"/>
      <c r="G236" s="58">
        <f>IF(AND($E$217=YearWithinRange,E236=Yes),F236,)</f>
        <v>0</v>
      </c>
    </row>
    <row r="237" spans="2:9" hidden="1" outlineLevel="1" collapsed="1">
      <c r="I237" s="121"/>
    </row>
    <row r="238" spans="2:9" ht="27.6" hidden="1" customHeight="1" outlineLevel="1">
      <c r="C238" s="102" t="s">
        <v>262</v>
      </c>
      <c r="D238" s="37">
        <f>$E$147+4</f>
        <v>2029</v>
      </c>
      <c r="E238" s="119" t="str">
        <f>IF(OR(D238&lt;$E$147,D238&gt;$F$147),"NOT INCLUDED - YEAR NOT WITHIN RANGE","YEAR WITHIN RANGE")</f>
        <v>YEAR WITHIN RANGE</v>
      </c>
    </row>
    <row r="239" spans="2:9" hidden="1" outlineLevel="2">
      <c r="B239" s="119" t="s">
        <v>97</v>
      </c>
      <c r="C239" s="27" t="s">
        <v>228</v>
      </c>
      <c r="D239" s="28" t="s">
        <v>99</v>
      </c>
      <c r="E239" s="27" t="s">
        <v>100</v>
      </c>
      <c r="F239" s="27" t="s">
        <v>229</v>
      </c>
      <c r="G239" s="27" t="s">
        <v>230</v>
      </c>
      <c r="H239" s="27" t="s">
        <v>231</v>
      </c>
    </row>
    <row r="240" spans="2:9" hidden="1" outlineLevel="2">
      <c r="B240" s="407" t="s">
        <v>232</v>
      </c>
      <c r="C240" s="116" t="s">
        <v>233</v>
      </c>
      <c r="D240" s="408" t="s">
        <v>234</v>
      </c>
      <c r="E240" s="410"/>
      <c r="F240" s="142">
        <v>0</v>
      </c>
      <c r="G240" s="147">
        <f>IF(E240=Yes,F240,0)</f>
        <v>0</v>
      </c>
      <c r="H240" s="402">
        <f>IF(AND($E$238=YearWithinRange,E240=Yes),G240*G241,)</f>
        <v>0</v>
      </c>
    </row>
    <row r="241" spans="2:9" hidden="1" outlineLevel="2">
      <c r="B241" s="407"/>
      <c r="C241" s="116" t="s">
        <v>235</v>
      </c>
      <c r="D241" s="409"/>
      <c r="E241" s="411"/>
      <c r="F241" s="135">
        <v>0</v>
      </c>
      <c r="G241" s="26">
        <f>IF(E240=Yes,F241,0)</f>
        <v>0</v>
      </c>
      <c r="H241" s="403"/>
    </row>
    <row r="242" spans="2:9" ht="29.1" hidden="1" outlineLevel="2">
      <c r="B242" s="404" t="s">
        <v>236</v>
      </c>
      <c r="C242" s="117" t="s">
        <v>237</v>
      </c>
      <c r="D242" s="95" t="s">
        <v>125</v>
      </c>
      <c r="E242" s="124"/>
      <c r="F242" s="135">
        <v>0</v>
      </c>
      <c r="G242" s="97"/>
      <c r="H242" s="26">
        <f>IF(AND($E$238=YearWithinRange,E242=Yes),F242,)</f>
        <v>0</v>
      </c>
      <c r="I242" s="121"/>
    </row>
    <row r="243" spans="2:9" ht="29.1" hidden="1" customHeight="1" outlineLevel="2">
      <c r="B243" s="405"/>
      <c r="C243" s="117" t="s">
        <v>238</v>
      </c>
      <c r="D243" s="143" t="s">
        <v>239</v>
      </c>
      <c r="E243" s="124"/>
      <c r="F243" s="135">
        <v>0</v>
      </c>
      <c r="G243" s="26">
        <f t="shared" ref="G243:G249" si="14">IF(E243=Yes,F243,0)</f>
        <v>0</v>
      </c>
      <c r="H243" s="26">
        <f t="shared" ref="H243:H249" si="15">IF(AND($E$154=YearWithinRange,E243=Yes),G243*$D$3,)</f>
        <v>0</v>
      </c>
      <c r="I243" s="121"/>
    </row>
    <row r="244" spans="2:9" ht="29.1" hidden="1" outlineLevel="2">
      <c r="B244" s="405"/>
      <c r="C244" s="116" t="s">
        <v>240</v>
      </c>
      <c r="D244" s="143" t="s">
        <v>241</v>
      </c>
      <c r="E244" s="124"/>
      <c r="F244" s="135">
        <v>0</v>
      </c>
      <c r="G244" s="26">
        <f t="shared" si="14"/>
        <v>0</v>
      </c>
      <c r="H244" s="26">
        <f t="shared" si="15"/>
        <v>0</v>
      </c>
      <c r="I244" s="121"/>
    </row>
    <row r="245" spans="2:9" ht="29.1" hidden="1" outlineLevel="2">
      <c r="B245" s="405"/>
      <c r="C245" s="116" t="s">
        <v>242</v>
      </c>
      <c r="D245" s="143" t="s">
        <v>239</v>
      </c>
      <c r="E245" s="124"/>
      <c r="F245" s="135">
        <v>0</v>
      </c>
      <c r="G245" s="26">
        <f t="shared" si="14"/>
        <v>0</v>
      </c>
      <c r="H245" s="26">
        <f t="shared" si="15"/>
        <v>0</v>
      </c>
      <c r="I245" s="121"/>
    </row>
    <row r="246" spans="2:9" ht="29.1" hidden="1" outlineLevel="2">
      <c r="B246" s="405"/>
      <c r="C246" s="116" t="s">
        <v>243</v>
      </c>
      <c r="D246" s="143" t="s">
        <v>239</v>
      </c>
      <c r="E246" s="124"/>
      <c r="F246" s="135">
        <v>0</v>
      </c>
      <c r="G246" s="26">
        <f t="shared" si="14"/>
        <v>0</v>
      </c>
      <c r="H246" s="26">
        <f t="shared" si="15"/>
        <v>0</v>
      </c>
      <c r="I246" s="121"/>
    </row>
    <row r="247" spans="2:9" ht="29.1" hidden="1" outlineLevel="2">
      <c r="B247" s="405"/>
      <c r="C247" s="56" t="s">
        <v>244</v>
      </c>
      <c r="D247" s="143" t="s">
        <v>239</v>
      </c>
      <c r="E247" s="124"/>
      <c r="F247" s="135">
        <v>0</v>
      </c>
      <c r="G247" s="26">
        <f t="shared" si="14"/>
        <v>0</v>
      </c>
      <c r="H247" s="26">
        <f t="shared" si="15"/>
        <v>0</v>
      </c>
      <c r="I247" s="121"/>
    </row>
    <row r="248" spans="2:9" ht="29.1" hidden="1" outlineLevel="2">
      <c r="B248" s="405"/>
      <c r="C248" s="117" t="s">
        <v>245</v>
      </c>
      <c r="D248" s="143" t="s">
        <v>239</v>
      </c>
      <c r="E248" s="124"/>
      <c r="F248" s="135">
        <v>0</v>
      </c>
      <c r="G248" s="26">
        <f t="shared" si="14"/>
        <v>0</v>
      </c>
      <c r="H248" s="26">
        <f t="shared" si="15"/>
        <v>0</v>
      </c>
      <c r="I248" s="121"/>
    </row>
    <row r="249" spans="2:9" ht="29.1" hidden="1" outlineLevel="2">
      <c r="B249" s="405"/>
      <c r="C249" s="117" t="s">
        <v>246</v>
      </c>
      <c r="D249" s="143" t="s">
        <v>239</v>
      </c>
      <c r="E249" s="124"/>
      <c r="F249" s="135">
        <v>0</v>
      </c>
      <c r="G249" s="26">
        <f t="shared" si="14"/>
        <v>0</v>
      </c>
      <c r="H249" s="26">
        <f t="shared" si="15"/>
        <v>0</v>
      </c>
      <c r="I249" s="121"/>
    </row>
    <row r="250" spans="2:9" hidden="1" outlineLevel="2">
      <c r="B250" s="406"/>
      <c r="C250" s="117" t="s">
        <v>247</v>
      </c>
      <c r="D250" s="95" t="s">
        <v>125</v>
      </c>
      <c r="E250" s="124"/>
      <c r="F250" s="135">
        <v>0</v>
      </c>
      <c r="G250" s="97"/>
      <c r="H250" s="26">
        <f>IF(AND($E$238=YearWithinRange,E250=Yes),F250,)</f>
        <v>0</v>
      </c>
      <c r="I250" s="121"/>
    </row>
    <row r="251" spans="2:9" customFormat="1" hidden="1" outlineLevel="2">
      <c r="E251" s="106"/>
      <c r="F251" s="106"/>
    </row>
    <row r="252" spans="2:9" hidden="1" outlineLevel="2">
      <c r="C252" s="27" t="s">
        <v>263</v>
      </c>
      <c r="D252" s="27" t="s">
        <v>99</v>
      </c>
      <c r="E252" s="27" t="s">
        <v>100</v>
      </c>
      <c r="F252" s="28" t="s">
        <v>249</v>
      </c>
      <c r="G252" s="27" t="s">
        <v>231</v>
      </c>
    </row>
    <row r="253" spans="2:9" hidden="1" outlineLevel="2">
      <c r="C253" s="199" t="s">
        <v>257</v>
      </c>
      <c r="D253" s="95" t="s">
        <v>125</v>
      </c>
      <c r="E253" s="124"/>
      <c r="F253" s="137"/>
      <c r="G253" s="58">
        <f>IF(AND($E$238=YearWithinRange,E253=Yes),F253,)</f>
        <v>0</v>
      </c>
    </row>
    <row r="254" spans="2:9" hidden="1" outlineLevel="2">
      <c r="C254" s="199" t="s">
        <v>251</v>
      </c>
      <c r="D254" s="95" t="s">
        <v>125</v>
      </c>
      <c r="E254" s="124"/>
      <c r="F254" s="137"/>
      <c r="G254" s="58">
        <f>IF(AND($E$238=YearWithinRange,E254=Yes),F254,)</f>
        <v>0</v>
      </c>
    </row>
    <row r="255" spans="2:9" hidden="1" outlineLevel="2">
      <c r="C255" s="199" t="s">
        <v>252</v>
      </c>
      <c r="D255" s="95" t="s">
        <v>125</v>
      </c>
      <c r="E255" s="124"/>
      <c r="F255" s="137"/>
      <c r="G255" s="58">
        <f>IF(AND($E$238=YearWithinRange,E255=Yes),F255,)</f>
        <v>0</v>
      </c>
    </row>
    <row r="256" spans="2:9" hidden="1" outlineLevel="2">
      <c r="C256" s="199" t="s">
        <v>253</v>
      </c>
      <c r="D256" s="95" t="s">
        <v>125</v>
      </c>
      <c r="E256" s="124"/>
      <c r="F256" s="137"/>
      <c r="G256" s="58">
        <f>IF(AND($E$238=YearWithinRange,E256=Yes),F256,)</f>
        <v>0</v>
      </c>
    </row>
    <row r="257" spans="2:9" hidden="1" outlineLevel="2">
      <c r="C257" s="199" t="s">
        <v>254</v>
      </c>
      <c r="D257" s="95" t="s">
        <v>125</v>
      </c>
      <c r="E257" s="124"/>
      <c r="F257" s="137"/>
      <c r="G257" s="58">
        <f>IF(AND($E$238=YearWithinRange,E257=Yes),F257,)</f>
        <v>0</v>
      </c>
    </row>
    <row r="258" spans="2:9" hidden="1" outlineLevel="1" collapsed="1"/>
    <row r="259" spans="2:9" ht="27.6" hidden="1" customHeight="1" outlineLevel="1">
      <c r="C259" s="102" t="s">
        <v>264</v>
      </c>
      <c r="D259" s="37">
        <f>$E$147+5</f>
        <v>2030</v>
      </c>
      <c r="E259" s="119" t="str">
        <f>IF(OR(D259&lt;$E$147,D259&gt;$F$147),"NOT INCLUDED - YEAR NOT WITHIN RANGE","YEAR WITHIN RANGE")</f>
        <v>YEAR WITHIN RANGE</v>
      </c>
    </row>
    <row r="260" spans="2:9" hidden="1" outlineLevel="2">
      <c r="B260" s="119" t="s">
        <v>97</v>
      </c>
      <c r="C260" s="27" t="s">
        <v>228</v>
      </c>
      <c r="D260" s="28" t="s">
        <v>99</v>
      </c>
      <c r="E260" s="27" t="s">
        <v>100</v>
      </c>
      <c r="F260" s="27" t="s">
        <v>229</v>
      </c>
      <c r="G260" s="27" t="s">
        <v>230</v>
      </c>
      <c r="H260" s="27" t="s">
        <v>231</v>
      </c>
    </row>
    <row r="261" spans="2:9" hidden="1" outlineLevel="2">
      <c r="B261" s="407" t="s">
        <v>232</v>
      </c>
      <c r="C261" s="116" t="s">
        <v>233</v>
      </c>
      <c r="D261" s="408" t="s">
        <v>234</v>
      </c>
      <c r="E261" s="410"/>
      <c r="F261" s="142">
        <v>0</v>
      </c>
      <c r="G261" s="147">
        <f>IF(E261=Yes,F261,0)</f>
        <v>0</v>
      </c>
      <c r="H261" s="402">
        <f>IF(AND($E$259=YearWithinRange,E261=Yes),G261*G262,)</f>
        <v>0</v>
      </c>
    </row>
    <row r="262" spans="2:9" hidden="1" outlineLevel="2">
      <c r="B262" s="407"/>
      <c r="C262" s="116" t="s">
        <v>235</v>
      </c>
      <c r="D262" s="409"/>
      <c r="E262" s="411"/>
      <c r="F262" s="135">
        <v>0</v>
      </c>
      <c r="G262" s="26">
        <f>IF(E261=Yes,F262,0)</f>
        <v>0</v>
      </c>
      <c r="H262" s="403"/>
    </row>
    <row r="263" spans="2:9" ht="29.1" hidden="1" outlineLevel="2">
      <c r="B263" s="404" t="s">
        <v>236</v>
      </c>
      <c r="C263" s="117" t="s">
        <v>237</v>
      </c>
      <c r="D263" s="95" t="s">
        <v>125</v>
      </c>
      <c r="E263" s="124"/>
      <c r="F263" s="135">
        <v>0</v>
      </c>
      <c r="G263" s="97"/>
      <c r="H263" s="26">
        <f>IF(AND($E$259=YearWithinRange,E263=Yes),F263,)</f>
        <v>0</v>
      </c>
      <c r="I263" s="121"/>
    </row>
    <row r="264" spans="2:9" ht="29.1" hidden="1" customHeight="1" outlineLevel="2">
      <c r="B264" s="405"/>
      <c r="C264" s="117" t="s">
        <v>238</v>
      </c>
      <c r="D264" s="143" t="s">
        <v>239</v>
      </c>
      <c r="E264" s="124"/>
      <c r="F264" s="135">
        <v>0</v>
      </c>
      <c r="G264" s="26">
        <f t="shared" ref="G264:G270" si="16">IF(E264=Yes,F264,0)</f>
        <v>0</v>
      </c>
      <c r="H264" s="26">
        <f t="shared" ref="H264:H270" si="17">IF(AND($E$154=YearWithinRange,E264=Yes),G264*$D$3,)</f>
        <v>0</v>
      </c>
      <c r="I264" s="121"/>
    </row>
    <row r="265" spans="2:9" ht="29.1" hidden="1" outlineLevel="2">
      <c r="B265" s="405"/>
      <c r="C265" s="116" t="s">
        <v>240</v>
      </c>
      <c r="D265" s="143" t="s">
        <v>241</v>
      </c>
      <c r="E265" s="124"/>
      <c r="F265" s="135">
        <v>0</v>
      </c>
      <c r="G265" s="26">
        <f t="shared" si="16"/>
        <v>0</v>
      </c>
      <c r="H265" s="26">
        <f t="shared" si="17"/>
        <v>0</v>
      </c>
      <c r="I265" s="121"/>
    </row>
    <row r="266" spans="2:9" ht="29.1" hidden="1" outlineLevel="2">
      <c r="B266" s="405"/>
      <c r="C266" s="116" t="s">
        <v>242</v>
      </c>
      <c r="D266" s="143" t="s">
        <v>239</v>
      </c>
      <c r="E266" s="124"/>
      <c r="F266" s="135">
        <v>0</v>
      </c>
      <c r="G266" s="26">
        <f t="shared" si="16"/>
        <v>0</v>
      </c>
      <c r="H266" s="26">
        <f t="shared" si="17"/>
        <v>0</v>
      </c>
      <c r="I266" s="121"/>
    </row>
    <row r="267" spans="2:9" ht="29.1" hidden="1" outlineLevel="2">
      <c r="B267" s="405"/>
      <c r="C267" s="116" t="s">
        <v>243</v>
      </c>
      <c r="D267" s="143" t="s">
        <v>239</v>
      </c>
      <c r="E267" s="124"/>
      <c r="F267" s="135">
        <v>0</v>
      </c>
      <c r="G267" s="26">
        <f t="shared" si="16"/>
        <v>0</v>
      </c>
      <c r="H267" s="26">
        <f t="shared" si="17"/>
        <v>0</v>
      </c>
      <c r="I267" s="121"/>
    </row>
    <row r="268" spans="2:9" ht="29.1" hidden="1" outlineLevel="2">
      <c r="B268" s="405"/>
      <c r="C268" s="56" t="s">
        <v>244</v>
      </c>
      <c r="D268" s="143" t="s">
        <v>239</v>
      </c>
      <c r="E268" s="124"/>
      <c r="F268" s="135">
        <v>0</v>
      </c>
      <c r="G268" s="26">
        <f t="shared" si="16"/>
        <v>0</v>
      </c>
      <c r="H268" s="26">
        <f t="shared" si="17"/>
        <v>0</v>
      </c>
      <c r="I268" s="121"/>
    </row>
    <row r="269" spans="2:9" ht="29.1" hidden="1" outlineLevel="2">
      <c r="B269" s="405"/>
      <c r="C269" s="117" t="s">
        <v>245</v>
      </c>
      <c r="D269" s="143" t="s">
        <v>239</v>
      </c>
      <c r="E269" s="124"/>
      <c r="F269" s="135">
        <v>0</v>
      </c>
      <c r="G269" s="26">
        <f t="shared" si="16"/>
        <v>0</v>
      </c>
      <c r="H269" s="26">
        <f t="shared" si="17"/>
        <v>0</v>
      </c>
      <c r="I269" s="121"/>
    </row>
    <row r="270" spans="2:9" ht="29.1" hidden="1" outlineLevel="2">
      <c r="B270" s="405"/>
      <c r="C270" s="117" t="s">
        <v>246</v>
      </c>
      <c r="D270" s="143" t="s">
        <v>239</v>
      </c>
      <c r="E270" s="124"/>
      <c r="F270" s="135">
        <v>0</v>
      </c>
      <c r="G270" s="26">
        <f t="shared" si="16"/>
        <v>0</v>
      </c>
      <c r="H270" s="26">
        <f t="shared" si="17"/>
        <v>0</v>
      </c>
      <c r="I270" s="121"/>
    </row>
    <row r="271" spans="2:9" hidden="1" outlineLevel="2">
      <c r="B271" s="406"/>
      <c r="C271" s="117" t="s">
        <v>247</v>
      </c>
      <c r="D271" s="95" t="s">
        <v>125</v>
      </c>
      <c r="E271" s="124"/>
      <c r="F271" s="135">
        <v>0</v>
      </c>
      <c r="G271" s="97"/>
      <c r="H271" s="26">
        <f>IF(AND($E$259=YearWithinRange,E271=Yes),F271,)</f>
        <v>0</v>
      </c>
      <c r="I271" s="121"/>
    </row>
    <row r="272" spans="2:9" customFormat="1" hidden="1" outlineLevel="2">
      <c r="E272" s="106"/>
      <c r="F272" s="106"/>
    </row>
    <row r="273" spans="2:9" hidden="1" outlineLevel="2">
      <c r="C273" s="27" t="s">
        <v>265</v>
      </c>
      <c r="D273" s="27" t="s">
        <v>99</v>
      </c>
      <c r="E273" s="27" t="s">
        <v>100</v>
      </c>
      <c r="F273" s="28" t="s">
        <v>249</v>
      </c>
      <c r="G273" s="27" t="s">
        <v>231</v>
      </c>
    </row>
    <row r="274" spans="2:9" hidden="1" outlineLevel="2">
      <c r="C274" s="199" t="s">
        <v>257</v>
      </c>
      <c r="D274" s="95" t="s">
        <v>125</v>
      </c>
      <c r="E274" s="124"/>
      <c r="F274" s="137"/>
      <c r="G274" s="58">
        <f>IF(AND($E$259=YearWithinRange,E274=Yes),F274,)</f>
        <v>0</v>
      </c>
    </row>
    <row r="275" spans="2:9" hidden="1" outlineLevel="2">
      <c r="C275" s="199" t="s">
        <v>251</v>
      </c>
      <c r="D275" s="95" t="s">
        <v>125</v>
      </c>
      <c r="E275" s="124"/>
      <c r="F275" s="137"/>
      <c r="G275" s="58">
        <f>IF(AND($E$259=YearWithinRange,E275=Yes),F275,)</f>
        <v>0</v>
      </c>
    </row>
    <row r="276" spans="2:9" hidden="1" outlineLevel="2">
      <c r="C276" s="199" t="s">
        <v>252</v>
      </c>
      <c r="D276" s="95" t="s">
        <v>125</v>
      </c>
      <c r="E276" s="124"/>
      <c r="F276" s="137"/>
      <c r="G276" s="58">
        <f>IF(AND($E$259=YearWithinRange,E276=Yes),F276,)</f>
        <v>0</v>
      </c>
    </row>
    <row r="277" spans="2:9" hidden="1" outlineLevel="2">
      <c r="C277" s="199" t="s">
        <v>253</v>
      </c>
      <c r="D277" s="95" t="s">
        <v>125</v>
      </c>
      <c r="E277" s="124"/>
      <c r="F277" s="137"/>
      <c r="G277" s="58">
        <f>IF(AND($E$259=YearWithinRange,E277=Yes),F277,)</f>
        <v>0</v>
      </c>
    </row>
    <row r="278" spans="2:9" hidden="1" outlineLevel="2">
      <c r="C278" s="199" t="s">
        <v>254</v>
      </c>
      <c r="D278" s="95" t="s">
        <v>125</v>
      </c>
      <c r="E278" s="124"/>
      <c r="F278" s="137"/>
      <c r="G278" s="58">
        <f>IF(AND($E$259=YearWithinRange,E278=Yes),F278,)</f>
        <v>0</v>
      </c>
    </row>
    <row r="279" spans="2:9" hidden="1" outlineLevel="1" collapsed="1"/>
    <row r="280" spans="2:9" ht="27.6" hidden="1" customHeight="1" outlineLevel="1">
      <c r="C280" s="102" t="s">
        <v>266</v>
      </c>
      <c r="D280" s="37">
        <f>$E$147+6</f>
        <v>2031</v>
      </c>
      <c r="E280" s="119" t="str">
        <f>IF(OR(D280&lt;$E$147,D280&gt;$F$147),"NOT INCLUDED - YEAR NOT WITHIN RANGE","YEAR WITHIN RANGE")</f>
        <v>YEAR WITHIN RANGE</v>
      </c>
    </row>
    <row r="281" spans="2:9" hidden="1" outlineLevel="2">
      <c r="B281" s="119" t="s">
        <v>97</v>
      </c>
      <c r="C281" s="27" t="s">
        <v>228</v>
      </c>
      <c r="D281" s="28" t="s">
        <v>99</v>
      </c>
      <c r="E281" s="27" t="s">
        <v>100</v>
      </c>
      <c r="F281" s="27" t="s">
        <v>229</v>
      </c>
      <c r="G281" s="27" t="s">
        <v>230</v>
      </c>
      <c r="H281" s="27" t="s">
        <v>231</v>
      </c>
    </row>
    <row r="282" spans="2:9" hidden="1" outlineLevel="2">
      <c r="B282" s="407" t="s">
        <v>232</v>
      </c>
      <c r="C282" s="116" t="s">
        <v>233</v>
      </c>
      <c r="D282" s="408" t="s">
        <v>234</v>
      </c>
      <c r="E282" s="410"/>
      <c r="F282" s="142">
        <v>0</v>
      </c>
      <c r="G282" s="147">
        <f>IF(E282=Yes,F282,0)</f>
        <v>0</v>
      </c>
      <c r="H282" s="402">
        <f>IF(AND($E$280=YearWithinRange,E282=Yes),G282*G283,)</f>
        <v>0</v>
      </c>
    </row>
    <row r="283" spans="2:9" hidden="1" outlineLevel="2">
      <c r="B283" s="407"/>
      <c r="C283" s="116" t="s">
        <v>235</v>
      </c>
      <c r="D283" s="409"/>
      <c r="E283" s="411"/>
      <c r="F283" s="135">
        <v>0</v>
      </c>
      <c r="G283" s="26">
        <f>IF(E282=Yes,F283,0)</f>
        <v>0</v>
      </c>
      <c r="H283" s="403"/>
    </row>
    <row r="284" spans="2:9" ht="29.1" hidden="1" outlineLevel="2">
      <c r="B284" s="404" t="s">
        <v>236</v>
      </c>
      <c r="C284" s="117" t="s">
        <v>237</v>
      </c>
      <c r="D284" s="95" t="s">
        <v>125</v>
      </c>
      <c r="E284" s="124"/>
      <c r="F284" s="135">
        <v>0</v>
      </c>
      <c r="G284" s="97"/>
      <c r="H284" s="26">
        <f>IF(AND($E$280=YearWithinRange,E284=Yes),F284,)</f>
        <v>0</v>
      </c>
      <c r="I284" s="121"/>
    </row>
    <row r="285" spans="2:9" ht="29.1" hidden="1" customHeight="1" outlineLevel="2">
      <c r="B285" s="405"/>
      <c r="C285" s="117" t="s">
        <v>238</v>
      </c>
      <c r="D285" s="143" t="s">
        <v>239</v>
      </c>
      <c r="E285" s="124"/>
      <c r="F285" s="135">
        <v>0</v>
      </c>
      <c r="G285" s="26">
        <f t="shared" ref="G285:G291" si="18">IF(E285=Yes,F285,0)</f>
        <v>0</v>
      </c>
      <c r="H285" s="26">
        <f t="shared" ref="H285:H291" si="19">IF(AND($E$154=YearWithinRange,E285=Yes),G285*$D$3,)</f>
        <v>0</v>
      </c>
      <c r="I285" s="121"/>
    </row>
    <row r="286" spans="2:9" ht="29.1" hidden="1" outlineLevel="2">
      <c r="B286" s="405"/>
      <c r="C286" s="116" t="s">
        <v>240</v>
      </c>
      <c r="D286" s="143" t="s">
        <v>241</v>
      </c>
      <c r="E286" s="124"/>
      <c r="F286" s="135">
        <v>0</v>
      </c>
      <c r="G286" s="26">
        <f t="shared" si="18"/>
        <v>0</v>
      </c>
      <c r="H286" s="26">
        <f t="shared" si="19"/>
        <v>0</v>
      </c>
      <c r="I286" s="121"/>
    </row>
    <row r="287" spans="2:9" ht="29.1" hidden="1" outlineLevel="2">
      <c r="B287" s="405"/>
      <c r="C287" s="116" t="s">
        <v>242</v>
      </c>
      <c r="D287" s="143" t="s">
        <v>239</v>
      </c>
      <c r="E287" s="124"/>
      <c r="F287" s="135">
        <v>0</v>
      </c>
      <c r="G287" s="26">
        <f t="shared" si="18"/>
        <v>0</v>
      </c>
      <c r="H287" s="26">
        <f t="shared" si="19"/>
        <v>0</v>
      </c>
      <c r="I287" s="121"/>
    </row>
    <row r="288" spans="2:9" ht="29.1" hidden="1" outlineLevel="2">
      <c r="B288" s="405"/>
      <c r="C288" s="116" t="s">
        <v>243</v>
      </c>
      <c r="D288" s="143" t="s">
        <v>239</v>
      </c>
      <c r="E288" s="124"/>
      <c r="F288" s="135">
        <v>0</v>
      </c>
      <c r="G288" s="26">
        <f t="shared" si="18"/>
        <v>0</v>
      </c>
      <c r="H288" s="26">
        <f t="shared" si="19"/>
        <v>0</v>
      </c>
      <c r="I288" s="121"/>
    </row>
    <row r="289" spans="2:9" ht="29.1" hidden="1" outlineLevel="2">
      <c r="B289" s="405"/>
      <c r="C289" s="56" t="s">
        <v>244</v>
      </c>
      <c r="D289" s="143" t="s">
        <v>239</v>
      </c>
      <c r="E289" s="124"/>
      <c r="F289" s="135">
        <v>0</v>
      </c>
      <c r="G289" s="26">
        <f t="shared" si="18"/>
        <v>0</v>
      </c>
      <c r="H289" s="26">
        <f t="shared" si="19"/>
        <v>0</v>
      </c>
      <c r="I289" s="121"/>
    </row>
    <row r="290" spans="2:9" ht="29.1" hidden="1" outlineLevel="2">
      <c r="B290" s="405"/>
      <c r="C290" s="117" t="s">
        <v>245</v>
      </c>
      <c r="D290" s="143" t="s">
        <v>239</v>
      </c>
      <c r="E290" s="124"/>
      <c r="F290" s="135">
        <v>0</v>
      </c>
      <c r="G290" s="26">
        <f t="shared" si="18"/>
        <v>0</v>
      </c>
      <c r="H290" s="26">
        <f t="shared" si="19"/>
        <v>0</v>
      </c>
      <c r="I290" s="121"/>
    </row>
    <row r="291" spans="2:9" ht="29.1" hidden="1" outlineLevel="2">
      <c r="B291" s="405"/>
      <c r="C291" s="117" t="s">
        <v>246</v>
      </c>
      <c r="D291" s="143" t="s">
        <v>239</v>
      </c>
      <c r="E291" s="124"/>
      <c r="F291" s="135">
        <v>0</v>
      </c>
      <c r="G291" s="26">
        <f t="shared" si="18"/>
        <v>0</v>
      </c>
      <c r="H291" s="26">
        <f t="shared" si="19"/>
        <v>0</v>
      </c>
      <c r="I291" s="121"/>
    </row>
    <row r="292" spans="2:9" hidden="1" outlineLevel="2">
      <c r="B292" s="406"/>
      <c r="C292" s="117" t="s">
        <v>247</v>
      </c>
      <c r="D292" s="95" t="s">
        <v>125</v>
      </c>
      <c r="E292" s="124"/>
      <c r="F292" s="135">
        <v>0</v>
      </c>
      <c r="G292" s="97"/>
      <c r="H292" s="26">
        <f>IF(AND($E$280=YearWithinRange,E292=Yes),F292,)</f>
        <v>0</v>
      </c>
      <c r="I292" s="121"/>
    </row>
    <row r="293" spans="2:9" customFormat="1" hidden="1" outlineLevel="2">
      <c r="E293" s="106"/>
      <c r="F293" s="106"/>
    </row>
    <row r="294" spans="2:9" hidden="1" outlineLevel="2">
      <c r="C294" s="27" t="s">
        <v>267</v>
      </c>
      <c r="D294" s="27" t="s">
        <v>99</v>
      </c>
      <c r="E294" s="27" t="s">
        <v>100</v>
      </c>
      <c r="F294" s="28" t="s">
        <v>249</v>
      </c>
      <c r="G294" s="27" t="s">
        <v>231</v>
      </c>
    </row>
    <row r="295" spans="2:9" hidden="1" outlineLevel="2">
      <c r="C295" s="199" t="s">
        <v>257</v>
      </c>
      <c r="D295" s="95" t="s">
        <v>125</v>
      </c>
      <c r="E295" s="124"/>
      <c r="F295" s="137"/>
      <c r="G295" s="58">
        <f>IF(AND($E$280=YearWithinRange,E295=Yes),F295,)</f>
        <v>0</v>
      </c>
    </row>
    <row r="296" spans="2:9" hidden="1" outlineLevel="2">
      <c r="C296" s="199" t="s">
        <v>251</v>
      </c>
      <c r="D296" s="95" t="s">
        <v>125</v>
      </c>
      <c r="E296" s="124"/>
      <c r="F296" s="137"/>
      <c r="G296" s="58">
        <f>IF(AND($E$280=YearWithinRange,E296=Yes),F296,)</f>
        <v>0</v>
      </c>
    </row>
    <row r="297" spans="2:9" hidden="1" outlineLevel="2">
      <c r="C297" s="199" t="s">
        <v>252</v>
      </c>
      <c r="D297" s="95" t="s">
        <v>125</v>
      </c>
      <c r="E297" s="124"/>
      <c r="F297" s="137"/>
      <c r="G297" s="58">
        <f>IF(AND($E$280=YearWithinRange,E297=Yes),F297,)</f>
        <v>0</v>
      </c>
    </row>
    <row r="298" spans="2:9" hidden="1" outlineLevel="2">
      <c r="C298" s="199" t="s">
        <v>253</v>
      </c>
      <c r="D298" s="95" t="s">
        <v>125</v>
      </c>
      <c r="E298" s="124"/>
      <c r="F298" s="137"/>
      <c r="G298" s="58">
        <f>IF(AND($E$280=YearWithinRange,E298=Yes),F298,)</f>
        <v>0</v>
      </c>
    </row>
    <row r="299" spans="2:9" hidden="1" outlineLevel="2">
      <c r="C299" s="199" t="s">
        <v>254</v>
      </c>
      <c r="D299" s="95" t="s">
        <v>125</v>
      </c>
      <c r="E299" s="124"/>
      <c r="F299" s="137"/>
      <c r="G299" s="58">
        <f>IF(AND($E$280=YearWithinRange,E299=Yes),F299,)</f>
        <v>0</v>
      </c>
    </row>
    <row r="300" spans="2:9" hidden="1" outlineLevel="1" collapsed="1"/>
    <row r="301" spans="2:9" ht="27.6" hidden="1" customHeight="1" outlineLevel="1">
      <c r="C301" s="102" t="s">
        <v>268</v>
      </c>
      <c r="D301" s="37">
        <f>$E$147+7</f>
        <v>2032</v>
      </c>
      <c r="E301" s="119" t="str">
        <f>IF(OR(D301&lt;$E$147,D301&gt;$F$147),"NOT INCLUDED - YEAR NOT WITHIN RANGE","YEAR WITHIN RANGE")</f>
        <v>YEAR WITHIN RANGE</v>
      </c>
    </row>
    <row r="302" spans="2:9" hidden="1" outlineLevel="2">
      <c r="B302" s="119" t="s">
        <v>97</v>
      </c>
      <c r="C302" s="27" t="s">
        <v>228</v>
      </c>
      <c r="D302" s="28" t="s">
        <v>99</v>
      </c>
      <c r="E302" s="27" t="s">
        <v>100</v>
      </c>
      <c r="F302" s="27" t="s">
        <v>229</v>
      </c>
      <c r="G302" s="27" t="s">
        <v>230</v>
      </c>
      <c r="H302" s="27" t="s">
        <v>231</v>
      </c>
    </row>
    <row r="303" spans="2:9" hidden="1" outlineLevel="2">
      <c r="B303" s="407" t="s">
        <v>232</v>
      </c>
      <c r="C303" s="116" t="s">
        <v>233</v>
      </c>
      <c r="D303" s="408" t="s">
        <v>234</v>
      </c>
      <c r="E303" s="410"/>
      <c r="F303" s="142">
        <v>0</v>
      </c>
      <c r="G303" s="147">
        <f>IF(E303=Yes,F303,0)</f>
        <v>0</v>
      </c>
      <c r="H303" s="402">
        <f>IF(AND($E$301=YearWithinRange,E303=Yes),G303*G304,)</f>
        <v>0</v>
      </c>
    </row>
    <row r="304" spans="2:9" hidden="1" outlineLevel="2">
      <c r="B304" s="407"/>
      <c r="C304" s="116" t="s">
        <v>235</v>
      </c>
      <c r="D304" s="409"/>
      <c r="E304" s="411"/>
      <c r="F304" s="135">
        <v>0</v>
      </c>
      <c r="G304" s="26">
        <f>IF(E303=Yes,F304,0)</f>
        <v>0</v>
      </c>
      <c r="H304" s="403"/>
    </row>
    <row r="305" spans="2:9" ht="29.1" hidden="1" outlineLevel="2">
      <c r="B305" s="404" t="s">
        <v>236</v>
      </c>
      <c r="C305" s="117" t="s">
        <v>237</v>
      </c>
      <c r="D305" s="95" t="s">
        <v>125</v>
      </c>
      <c r="E305" s="124"/>
      <c r="F305" s="135">
        <v>0</v>
      </c>
      <c r="G305" s="97"/>
      <c r="H305" s="26">
        <f>IF(AND($E$301=YearWithinRange,E305=Yes),F305,)</f>
        <v>0</v>
      </c>
      <c r="I305" s="121"/>
    </row>
    <row r="306" spans="2:9" ht="29.1" hidden="1" customHeight="1" outlineLevel="2">
      <c r="B306" s="405"/>
      <c r="C306" s="117" t="s">
        <v>238</v>
      </c>
      <c r="D306" s="143" t="s">
        <v>239</v>
      </c>
      <c r="E306" s="124"/>
      <c r="F306" s="135">
        <v>0</v>
      </c>
      <c r="G306" s="26">
        <f t="shared" ref="G306:G312" si="20">IF(E306=Yes,F306,0)</f>
        <v>0</v>
      </c>
      <c r="H306" s="26">
        <f t="shared" ref="H306:H312" si="21">IF(AND($E$154=YearWithinRange,E306=Yes),G306*$D$3,)</f>
        <v>0</v>
      </c>
      <c r="I306" s="121"/>
    </row>
    <row r="307" spans="2:9" ht="29.1" hidden="1" outlineLevel="2">
      <c r="B307" s="405"/>
      <c r="C307" s="116" t="s">
        <v>240</v>
      </c>
      <c r="D307" s="143" t="s">
        <v>241</v>
      </c>
      <c r="E307" s="124"/>
      <c r="F307" s="135">
        <v>0</v>
      </c>
      <c r="G307" s="26">
        <f t="shared" si="20"/>
        <v>0</v>
      </c>
      <c r="H307" s="26">
        <f t="shared" si="21"/>
        <v>0</v>
      </c>
      <c r="I307" s="121"/>
    </row>
    <row r="308" spans="2:9" ht="29.1" hidden="1" outlineLevel="2">
      <c r="B308" s="405"/>
      <c r="C308" s="116" t="s">
        <v>242</v>
      </c>
      <c r="D308" s="143" t="s">
        <v>239</v>
      </c>
      <c r="E308" s="124"/>
      <c r="F308" s="135">
        <v>0</v>
      </c>
      <c r="G308" s="26">
        <f t="shared" si="20"/>
        <v>0</v>
      </c>
      <c r="H308" s="26">
        <f t="shared" si="21"/>
        <v>0</v>
      </c>
      <c r="I308" s="121"/>
    </row>
    <row r="309" spans="2:9" ht="29.1" hidden="1" outlineLevel="2">
      <c r="B309" s="405"/>
      <c r="C309" s="116" t="s">
        <v>243</v>
      </c>
      <c r="D309" s="143" t="s">
        <v>239</v>
      </c>
      <c r="E309" s="124"/>
      <c r="F309" s="135">
        <v>0</v>
      </c>
      <c r="G309" s="26">
        <f t="shared" si="20"/>
        <v>0</v>
      </c>
      <c r="H309" s="26">
        <f t="shared" si="21"/>
        <v>0</v>
      </c>
      <c r="I309" s="121"/>
    </row>
    <row r="310" spans="2:9" ht="29.1" hidden="1" outlineLevel="2">
      <c r="B310" s="405"/>
      <c r="C310" s="56" t="s">
        <v>244</v>
      </c>
      <c r="D310" s="143" t="s">
        <v>239</v>
      </c>
      <c r="E310" s="124"/>
      <c r="F310" s="135">
        <v>0</v>
      </c>
      <c r="G310" s="26">
        <f t="shared" si="20"/>
        <v>0</v>
      </c>
      <c r="H310" s="26">
        <f t="shared" si="21"/>
        <v>0</v>
      </c>
      <c r="I310" s="121"/>
    </row>
    <row r="311" spans="2:9" ht="29.1" hidden="1" outlineLevel="2">
      <c r="B311" s="405"/>
      <c r="C311" s="117" t="s">
        <v>245</v>
      </c>
      <c r="D311" s="143" t="s">
        <v>239</v>
      </c>
      <c r="E311" s="124"/>
      <c r="F311" s="135">
        <v>0</v>
      </c>
      <c r="G311" s="26">
        <f t="shared" si="20"/>
        <v>0</v>
      </c>
      <c r="H311" s="26">
        <f t="shared" si="21"/>
        <v>0</v>
      </c>
      <c r="I311" s="121"/>
    </row>
    <row r="312" spans="2:9" ht="29.1" hidden="1" outlineLevel="2">
      <c r="B312" s="405"/>
      <c r="C312" s="117" t="s">
        <v>246</v>
      </c>
      <c r="D312" s="143" t="s">
        <v>239</v>
      </c>
      <c r="E312" s="124"/>
      <c r="F312" s="135">
        <v>0</v>
      </c>
      <c r="G312" s="26">
        <f t="shared" si="20"/>
        <v>0</v>
      </c>
      <c r="H312" s="26">
        <f t="shared" si="21"/>
        <v>0</v>
      </c>
      <c r="I312" s="121"/>
    </row>
    <row r="313" spans="2:9" hidden="1" outlineLevel="2">
      <c r="B313" s="406"/>
      <c r="C313" s="117" t="s">
        <v>247</v>
      </c>
      <c r="D313" s="95" t="s">
        <v>125</v>
      </c>
      <c r="E313" s="124"/>
      <c r="F313" s="135">
        <v>0</v>
      </c>
      <c r="G313" s="97"/>
      <c r="H313" s="26">
        <f>IF(AND($E$301=YearWithinRange,E313=Yes),F313,)</f>
        <v>0</v>
      </c>
      <c r="I313" s="121"/>
    </row>
    <row r="314" spans="2:9" customFormat="1" hidden="1" outlineLevel="2">
      <c r="E314" s="106"/>
      <c r="F314" s="106"/>
    </row>
    <row r="315" spans="2:9" hidden="1" outlineLevel="2">
      <c r="C315" s="27" t="s">
        <v>269</v>
      </c>
      <c r="D315" s="27" t="s">
        <v>99</v>
      </c>
      <c r="E315" s="27" t="s">
        <v>100</v>
      </c>
      <c r="F315" s="28" t="s">
        <v>249</v>
      </c>
      <c r="G315" s="27" t="s">
        <v>231</v>
      </c>
    </row>
    <row r="316" spans="2:9" hidden="1" outlineLevel="2">
      <c r="C316" s="199" t="s">
        <v>257</v>
      </c>
      <c r="D316" s="95" t="s">
        <v>125</v>
      </c>
      <c r="E316" s="124"/>
      <c r="F316" s="137"/>
      <c r="G316" s="58">
        <f>IF(AND($E$301=YearWithinRange,E316=Yes),F316,)</f>
        <v>0</v>
      </c>
    </row>
    <row r="317" spans="2:9" hidden="1" outlineLevel="2">
      <c r="C317" s="199" t="s">
        <v>251</v>
      </c>
      <c r="D317" s="95" t="s">
        <v>125</v>
      </c>
      <c r="E317" s="124"/>
      <c r="F317" s="137"/>
      <c r="G317" s="58">
        <f>IF(AND($E$301=YearWithinRange,E317=Yes),F317,)</f>
        <v>0</v>
      </c>
    </row>
    <row r="318" spans="2:9" hidden="1" outlineLevel="2">
      <c r="C318" s="199" t="s">
        <v>252</v>
      </c>
      <c r="D318" s="95" t="s">
        <v>125</v>
      </c>
      <c r="E318" s="124"/>
      <c r="F318" s="137"/>
      <c r="G318" s="58">
        <f>IF(AND($E$301=YearWithinRange,E318=Yes),F318,)</f>
        <v>0</v>
      </c>
    </row>
    <row r="319" spans="2:9" hidden="1" outlineLevel="2">
      <c r="C319" s="199" t="s">
        <v>253</v>
      </c>
      <c r="D319" s="95" t="s">
        <v>125</v>
      </c>
      <c r="E319" s="124"/>
      <c r="F319" s="137"/>
      <c r="G319" s="58">
        <f>IF(AND($E$301=YearWithinRange,E319=Yes),F319,)</f>
        <v>0</v>
      </c>
    </row>
    <row r="320" spans="2:9" hidden="1" outlineLevel="2">
      <c r="C320" s="199" t="s">
        <v>254</v>
      </c>
      <c r="D320" s="95" t="s">
        <v>125</v>
      </c>
      <c r="E320" s="124"/>
      <c r="F320" s="137"/>
      <c r="G320" s="58">
        <f>IF(AND($E$301=YearWithinRange,E320=Yes),F320,)</f>
        <v>0</v>
      </c>
    </row>
    <row r="321" spans="2:9" hidden="1" outlineLevel="1" collapsed="1"/>
    <row r="322" spans="2:9" ht="27.6" hidden="1" customHeight="1" outlineLevel="1">
      <c r="C322" s="102" t="s">
        <v>270</v>
      </c>
      <c r="D322" s="37">
        <f>$E$147+8</f>
        <v>2033</v>
      </c>
      <c r="E322" s="119" t="str">
        <f>IF(OR(D322&lt;$E$147,D322&gt;$F$147),"NOT INCLUDED - YEAR NOT WITHIN RANGE","YEAR WITHIN RANGE")</f>
        <v>YEAR WITHIN RANGE</v>
      </c>
    </row>
    <row r="323" spans="2:9" hidden="1" outlineLevel="2">
      <c r="B323" s="119" t="s">
        <v>97</v>
      </c>
      <c r="C323" s="27" t="s">
        <v>228</v>
      </c>
      <c r="D323" s="28" t="s">
        <v>99</v>
      </c>
      <c r="E323" s="27" t="s">
        <v>100</v>
      </c>
      <c r="F323" s="27" t="s">
        <v>229</v>
      </c>
      <c r="G323" s="27" t="s">
        <v>230</v>
      </c>
      <c r="H323" s="27" t="s">
        <v>231</v>
      </c>
    </row>
    <row r="324" spans="2:9" hidden="1" outlineLevel="2">
      <c r="B324" s="407" t="s">
        <v>232</v>
      </c>
      <c r="C324" s="116" t="s">
        <v>233</v>
      </c>
      <c r="D324" s="408" t="s">
        <v>234</v>
      </c>
      <c r="E324" s="410"/>
      <c r="F324" s="142">
        <v>0</v>
      </c>
      <c r="G324" s="147">
        <f>IF(E324=Yes,F324,0)</f>
        <v>0</v>
      </c>
      <c r="H324" s="402">
        <f>IF(AND($E$322=YearWithinRange,E324=Yes),G324*G325,)</f>
        <v>0</v>
      </c>
    </row>
    <row r="325" spans="2:9" hidden="1" outlineLevel="2">
      <c r="B325" s="407"/>
      <c r="C325" s="116" t="s">
        <v>235</v>
      </c>
      <c r="D325" s="409"/>
      <c r="E325" s="411"/>
      <c r="F325" s="135">
        <v>0</v>
      </c>
      <c r="G325" s="26">
        <f>IF(E324=Yes,F325,0)</f>
        <v>0</v>
      </c>
      <c r="H325" s="403"/>
    </row>
    <row r="326" spans="2:9" ht="29.1" hidden="1" outlineLevel="2">
      <c r="B326" s="404" t="s">
        <v>236</v>
      </c>
      <c r="C326" s="117" t="s">
        <v>237</v>
      </c>
      <c r="D326" s="95" t="s">
        <v>125</v>
      </c>
      <c r="E326" s="124"/>
      <c r="F326" s="135">
        <v>0</v>
      </c>
      <c r="G326" s="97"/>
      <c r="H326" s="26">
        <f>IF(AND($E$322=YearWithinRange,E326=Yes),F326,)</f>
        <v>0</v>
      </c>
      <c r="I326" s="121"/>
    </row>
    <row r="327" spans="2:9" ht="29.1" hidden="1" outlineLevel="2">
      <c r="B327" s="405"/>
      <c r="C327" s="117" t="s">
        <v>238</v>
      </c>
      <c r="D327" s="143" t="s">
        <v>239</v>
      </c>
      <c r="E327" s="124"/>
      <c r="F327" s="135">
        <v>0</v>
      </c>
      <c r="G327" s="26">
        <f t="shared" ref="G327:G333" si="22">IF(E327=Yes,F327,0)</f>
        <v>0</v>
      </c>
      <c r="H327" s="26">
        <f t="shared" ref="H327:H333" si="23">IF(AND($E$154=YearWithinRange,E327=Yes),G327*$D$3,)</f>
        <v>0</v>
      </c>
      <c r="I327" s="121"/>
    </row>
    <row r="328" spans="2:9" ht="29.1" hidden="1" outlineLevel="2">
      <c r="B328" s="405"/>
      <c r="C328" s="116" t="s">
        <v>240</v>
      </c>
      <c r="D328" s="143" t="s">
        <v>241</v>
      </c>
      <c r="E328" s="124"/>
      <c r="F328" s="135">
        <v>0</v>
      </c>
      <c r="G328" s="26">
        <f t="shared" si="22"/>
        <v>0</v>
      </c>
      <c r="H328" s="26">
        <f t="shared" si="23"/>
        <v>0</v>
      </c>
      <c r="I328" s="121"/>
    </row>
    <row r="329" spans="2:9" ht="29.1" hidden="1" outlineLevel="2">
      <c r="B329" s="405"/>
      <c r="C329" s="116" t="s">
        <v>242</v>
      </c>
      <c r="D329" s="143" t="s">
        <v>239</v>
      </c>
      <c r="E329" s="124"/>
      <c r="F329" s="135">
        <v>0</v>
      </c>
      <c r="G329" s="26">
        <f t="shared" si="22"/>
        <v>0</v>
      </c>
      <c r="H329" s="26">
        <f t="shared" si="23"/>
        <v>0</v>
      </c>
      <c r="I329" s="121"/>
    </row>
    <row r="330" spans="2:9" ht="29.1" hidden="1" outlineLevel="2">
      <c r="B330" s="405"/>
      <c r="C330" s="116" t="s">
        <v>243</v>
      </c>
      <c r="D330" s="143" t="s">
        <v>239</v>
      </c>
      <c r="E330" s="124"/>
      <c r="F330" s="135">
        <v>0</v>
      </c>
      <c r="G330" s="26">
        <f t="shared" si="22"/>
        <v>0</v>
      </c>
      <c r="H330" s="26">
        <f t="shared" si="23"/>
        <v>0</v>
      </c>
      <c r="I330" s="121"/>
    </row>
    <row r="331" spans="2:9" ht="29.1" hidden="1" outlineLevel="2">
      <c r="B331" s="405"/>
      <c r="C331" s="56" t="s">
        <v>244</v>
      </c>
      <c r="D331" s="143" t="s">
        <v>239</v>
      </c>
      <c r="E331" s="124"/>
      <c r="F331" s="135">
        <v>0</v>
      </c>
      <c r="G331" s="26">
        <f t="shared" si="22"/>
        <v>0</v>
      </c>
      <c r="H331" s="26">
        <f t="shared" si="23"/>
        <v>0</v>
      </c>
      <c r="I331" s="121"/>
    </row>
    <row r="332" spans="2:9" ht="29.1" hidden="1" outlineLevel="2">
      <c r="B332" s="405"/>
      <c r="C332" s="117" t="s">
        <v>245</v>
      </c>
      <c r="D332" s="143" t="s">
        <v>239</v>
      </c>
      <c r="E332" s="124"/>
      <c r="F332" s="135">
        <v>0</v>
      </c>
      <c r="G332" s="26">
        <f t="shared" si="22"/>
        <v>0</v>
      </c>
      <c r="H332" s="26">
        <f t="shared" si="23"/>
        <v>0</v>
      </c>
      <c r="I332" s="121"/>
    </row>
    <row r="333" spans="2:9" ht="29.1" hidden="1" outlineLevel="2">
      <c r="B333" s="405"/>
      <c r="C333" s="117" t="s">
        <v>246</v>
      </c>
      <c r="D333" s="143" t="s">
        <v>239</v>
      </c>
      <c r="E333" s="124"/>
      <c r="F333" s="135">
        <v>0</v>
      </c>
      <c r="G333" s="26">
        <f t="shared" si="22"/>
        <v>0</v>
      </c>
      <c r="H333" s="26">
        <f t="shared" si="23"/>
        <v>0</v>
      </c>
      <c r="I333" s="121"/>
    </row>
    <row r="334" spans="2:9" hidden="1" outlineLevel="2">
      <c r="B334" s="406"/>
      <c r="C334" s="117" t="s">
        <v>247</v>
      </c>
      <c r="D334" s="95" t="s">
        <v>125</v>
      </c>
      <c r="E334" s="124"/>
      <c r="F334" s="135">
        <v>0</v>
      </c>
      <c r="G334" s="97"/>
      <c r="H334" s="26">
        <f>IF(AND($E$322=YearWithinRange,E334=Yes),F334,)</f>
        <v>0</v>
      </c>
      <c r="I334" s="121"/>
    </row>
    <row r="335" spans="2:9" customFormat="1" hidden="1" outlineLevel="2">
      <c r="E335" s="106"/>
      <c r="F335" s="106"/>
    </row>
    <row r="336" spans="2:9" hidden="1" outlineLevel="2">
      <c r="C336" s="27" t="s">
        <v>271</v>
      </c>
      <c r="D336" s="27" t="s">
        <v>99</v>
      </c>
      <c r="E336" s="27" t="s">
        <v>100</v>
      </c>
      <c r="F336" s="28" t="s">
        <v>249</v>
      </c>
      <c r="G336" s="27" t="s">
        <v>231</v>
      </c>
    </row>
    <row r="337" spans="2:9" hidden="1" outlineLevel="2">
      <c r="C337" s="199" t="s">
        <v>257</v>
      </c>
      <c r="D337" s="95" t="s">
        <v>125</v>
      </c>
      <c r="E337" s="124"/>
      <c r="F337" s="137"/>
      <c r="G337" s="58">
        <f>IF(AND($E$322=YearWithinRange,E337=Yes),F337,)</f>
        <v>0</v>
      </c>
    </row>
    <row r="338" spans="2:9" hidden="1" outlineLevel="2">
      <c r="C338" s="199" t="s">
        <v>251</v>
      </c>
      <c r="D338" s="95" t="s">
        <v>125</v>
      </c>
      <c r="E338" s="124"/>
      <c r="F338" s="137"/>
      <c r="G338" s="58">
        <f>IF(AND($E$322=YearWithinRange,E338=Yes),F338,)</f>
        <v>0</v>
      </c>
    </row>
    <row r="339" spans="2:9" hidden="1" outlineLevel="2">
      <c r="C339" s="199" t="s">
        <v>252</v>
      </c>
      <c r="D339" s="95" t="s">
        <v>125</v>
      </c>
      <c r="E339" s="124"/>
      <c r="F339" s="137"/>
      <c r="G339" s="58">
        <f>IF(AND($E$322=YearWithinRange,E339=Yes),F339,)</f>
        <v>0</v>
      </c>
    </row>
    <row r="340" spans="2:9" hidden="1" outlineLevel="2">
      <c r="C340" s="199" t="s">
        <v>253</v>
      </c>
      <c r="D340" s="95" t="s">
        <v>125</v>
      </c>
      <c r="E340" s="124"/>
      <c r="F340" s="137"/>
      <c r="G340" s="58">
        <f>IF(AND($E$322=YearWithinRange,E340=Yes),F340,)</f>
        <v>0</v>
      </c>
    </row>
    <row r="341" spans="2:9" hidden="1" outlineLevel="2">
      <c r="C341" s="199" t="s">
        <v>254</v>
      </c>
      <c r="D341" s="95" t="s">
        <v>125</v>
      </c>
      <c r="E341" s="124"/>
      <c r="F341" s="137"/>
      <c r="G341" s="58">
        <f>IF(AND($E$322=YearWithinRange,E341=Yes),F341,)</f>
        <v>0</v>
      </c>
    </row>
    <row r="342" spans="2:9" hidden="1" outlineLevel="1" collapsed="1"/>
    <row r="343" spans="2:9" ht="27.6" hidden="1" customHeight="1" outlineLevel="1">
      <c r="C343" s="102" t="s">
        <v>272</v>
      </c>
      <c r="D343" s="37">
        <f>$E$147+9</f>
        <v>2034</v>
      </c>
      <c r="E343" s="119" t="str">
        <f>IF(OR(D343&lt;$E$147,D343&gt;$F$147),"NOT INCLUDED - YEAR NOT WITHIN RANGE","YEAR WITHIN RANGE")</f>
        <v>YEAR WITHIN RANGE</v>
      </c>
    </row>
    <row r="344" spans="2:9" hidden="1" outlineLevel="2">
      <c r="B344" s="119" t="s">
        <v>97</v>
      </c>
      <c r="C344" s="27" t="s">
        <v>228</v>
      </c>
      <c r="D344" s="28" t="s">
        <v>99</v>
      </c>
      <c r="E344" s="27" t="s">
        <v>100</v>
      </c>
      <c r="F344" s="27" t="s">
        <v>229</v>
      </c>
      <c r="G344" s="27" t="s">
        <v>230</v>
      </c>
      <c r="H344" s="27" t="s">
        <v>231</v>
      </c>
    </row>
    <row r="345" spans="2:9" hidden="1" outlineLevel="2">
      <c r="B345" s="407" t="s">
        <v>232</v>
      </c>
      <c r="C345" s="116" t="s">
        <v>233</v>
      </c>
      <c r="D345" s="408" t="s">
        <v>234</v>
      </c>
      <c r="E345" s="410"/>
      <c r="F345" s="142">
        <v>0</v>
      </c>
      <c r="G345" s="147">
        <f>IF(E345=Yes,F345,0)</f>
        <v>0</v>
      </c>
      <c r="H345" s="402">
        <f>IF(AND($E$343=YearWithinRange,E345=Yes),G345*G346,)</f>
        <v>0</v>
      </c>
    </row>
    <row r="346" spans="2:9" hidden="1" outlineLevel="2">
      <c r="B346" s="407"/>
      <c r="C346" s="116" t="s">
        <v>235</v>
      </c>
      <c r="D346" s="409"/>
      <c r="E346" s="411"/>
      <c r="F346" s="135">
        <v>0</v>
      </c>
      <c r="G346" s="26">
        <f>IF(E345=Yes,F346,0)</f>
        <v>0</v>
      </c>
      <c r="H346" s="403"/>
    </row>
    <row r="347" spans="2:9" ht="29.1" hidden="1" outlineLevel="2">
      <c r="B347" s="404" t="s">
        <v>236</v>
      </c>
      <c r="C347" s="117" t="s">
        <v>237</v>
      </c>
      <c r="D347" s="95" t="s">
        <v>125</v>
      </c>
      <c r="E347" s="124"/>
      <c r="F347" s="135">
        <v>0</v>
      </c>
      <c r="G347" s="97"/>
      <c r="H347" s="26">
        <f>IF(AND($E$343=YearWithinRange,E347=Yes),F347,)</f>
        <v>0</v>
      </c>
      <c r="I347" s="121"/>
    </row>
    <row r="348" spans="2:9" ht="29.1" hidden="1" customHeight="1" outlineLevel="2">
      <c r="B348" s="405"/>
      <c r="C348" s="117" t="s">
        <v>238</v>
      </c>
      <c r="D348" s="143" t="s">
        <v>239</v>
      </c>
      <c r="E348" s="124"/>
      <c r="F348" s="135">
        <v>0</v>
      </c>
      <c r="G348" s="26">
        <f t="shared" ref="G348:G354" si="24">IF(E348=Yes,F348,0)</f>
        <v>0</v>
      </c>
      <c r="H348" s="26">
        <f t="shared" ref="H348:H354" si="25">IF(AND($E$154=YearWithinRange,E348=Yes),G348*$D$3,)</f>
        <v>0</v>
      </c>
      <c r="I348" s="121"/>
    </row>
    <row r="349" spans="2:9" ht="29.1" hidden="1" outlineLevel="2">
      <c r="B349" s="405"/>
      <c r="C349" s="116" t="s">
        <v>240</v>
      </c>
      <c r="D349" s="143" t="s">
        <v>241</v>
      </c>
      <c r="E349" s="124"/>
      <c r="F349" s="135">
        <v>0</v>
      </c>
      <c r="G349" s="26">
        <f t="shared" si="24"/>
        <v>0</v>
      </c>
      <c r="H349" s="26">
        <f t="shared" si="25"/>
        <v>0</v>
      </c>
      <c r="I349" s="121"/>
    </row>
    <row r="350" spans="2:9" ht="29.1" hidden="1" outlineLevel="2">
      <c r="B350" s="405"/>
      <c r="C350" s="116" t="s">
        <v>242</v>
      </c>
      <c r="D350" s="143" t="s">
        <v>239</v>
      </c>
      <c r="E350" s="124"/>
      <c r="F350" s="135">
        <v>0</v>
      </c>
      <c r="G350" s="26">
        <f t="shared" si="24"/>
        <v>0</v>
      </c>
      <c r="H350" s="26">
        <f t="shared" si="25"/>
        <v>0</v>
      </c>
      <c r="I350" s="121"/>
    </row>
    <row r="351" spans="2:9" ht="29.1" hidden="1" outlineLevel="2">
      <c r="B351" s="405"/>
      <c r="C351" s="116" t="s">
        <v>243</v>
      </c>
      <c r="D351" s="143" t="s">
        <v>239</v>
      </c>
      <c r="E351" s="124"/>
      <c r="F351" s="135">
        <v>0</v>
      </c>
      <c r="G351" s="26">
        <f t="shared" si="24"/>
        <v>0</v>
      </c>
      <c r="H351" s="26">
        <f t="shared" si="25"/>
        <v>0</v>
      </c>
      <c r="I351" s="121"/>
    </row>
    <row r="352" spans="2:9" ht="29.1" hidden="1" outlineLevel="2">
      <c r="B352" s="405"/>
      <c r="C352" s="56" t="s">
        <v>244</v>
      </c>
      <c r="D352" s="143" t="s">
        <v>239</v>
      </c>
      <c r="E352" s="124"/>
      <c r="F352" s="135">
        <v>0</v>
      </c>
      <c r="G352" s="26">
        <f t="shared" si="24"/>
        <v>0</v>
      </c>
      <c r="H352" s="26">
        <f t="shared" si="25"/>
        <v>0</v>
      </c>
      <c r="I352" s="121"/>
    </row>
    <row r="353" spans="2:25" ht="29.1" hidden="1" outlineLevel="2">
      <c r="B353" s="405"/>
      <c r="C353" s="117" t="s">
        <v>245</v>
      </c>
      <c r="D353" s="143" t="s">
        <v>239</v>
      </c>
      <c r="E353" s="124"/>
      <c r="F353" s="135">
        <v>0</v>
      </c>
      <c r="G353" s="26">
        <f t="shared" si="24"/>
        <v>0</v>
      </c>
      <c r="H353" s="26">
        <f t="shared" si="25"/>
        <v>0</v>
      </c>
      <c r="I353" s="121"/>
    </row>
    <row r="354" spans="2:25" ht="29.1" hidden="1" outlineLevel="2">
      <c r="B354" s="405"/>
      <c r="C354" s="117" t="s">
        <v>246</v>
      </c>
      <c r="D354" s="143" t="s">
        <v>239</v>
      </c>
      <c r="E354" s="124"/>
      <c r="F354" s="135">
        <v>0</v>
      </c>
      <c r="G354" s="26">
        <f t="shared" si="24"/>
        <v>0</v>
      </c>
      <c r="H354" s="26">
        <f t="shared" si="25"/>
        <v>0</v>
      </c>
      <c r="I354" s="121"/>
    </row>
    <row r="355" spans="2:25" hidden="1" outlineLevel="2">
      <c r="B355" s="406"/>
      <c r="C355" s="117" t="s">
        <v>247</v>
      </c>
      <c r="D355" s="95" t="s">
        <v>125</v>
      </c>
      <c r="E355" s="124"/>
      <c r="F355" s="135">
        <v>0</v>
      </c>
      <c r="G355" s="97"/>
      <c r="H355" s="26">
        <f>IF(AND($E$343=YearWithinRange,E355=Yes),F355,)</f>
        <v>0</v>
      </c>
      <c r="I355" s="121"/>
    </row>
    <row r="356" spans="2:25" customFormat="1" hidden="1" outlineLevel="2">
      <c r="E356" s="106"/>
      <c r="F356" s="106"/>
    </row>
    <row r="357" spans="2:25" hidden="1" outlineLevel="2">
      <c r="C357" s="27" t="s">
        <v>273</v>
      </c>
      <c r="D357" s="27" t="s">
        <v>99</v>
      </c>
      <c r="E357" s="27" t="s">
        <v>100</v>
      </c>
      <c r="F357" s="28" t="s">
        <v>249</v>
      </c>
      <c r="G357" s="27" t="s">
        <v>231</v>
      </c>
    </row>
    <row r="358" spans="2:25" hidden="1" outlineLevel="2">
      <c r="C358" s="199" t="s">
        <v>257</v>
      </c>
      <c r="D358" s="95" t="s">
        <v>125</v>
      </c>
      <c r="E358" s="124"/>
      <c r="F358" s="137"/>
      <c r="G358" s="58">
        <f>IF(AND($E$343=YearWithinRange,E358=Yes),F358,)</f>
        <v>0</v>
      </c>
    </row>
    <row r="359" spans="2:25" hidden="1" outlineLevel="2">
      <c r="C359" s="199" t="s">
        <v>251</v>
      </c>
      <c r="D359" s="95" t="s">
        <v>125</v>
      </c>
      <c r="E359" s="124"/>
      <c r="F359" s="137"/>
      <c r="G359" s="58">
        <f>IF(AND($E$343=YearWithinRange,E359=Yes),F359,)</f>
        <v>0</v>
      </c>
    </row>
    <row r="360" spans="2:25" hidden="1" outlineLevel="2">
      <c r="C360" s="199" t="s">
        <v>252</v>
      </c>
      <c r="D360" s="95" t="s">
        <v>125</v>
      </c>
      <c r="E360" s="124"/>
      <c r="F360" s="137"/>
      <c r="G360" s="58">
        <f>IF(AND($E$343=YearWithinRange,E360=Yes),F360,)</f>
        <v>0</v>
      </c>
    </row>
    <row r="361" spans="2:25" hidden="1" outlineLevel="2">
      <c r="C361" s="199" t="s">
        <v>253</v>
      </c>
      <c r="D361" s="95" t="s">
        <v>125</v>
      </c>
      <c r="E361" s="124"/>
      <c r="F361" s="137"/>
      <c r="G361" s="58">
        <f>IF(AND($E$343=YearWithinRange,E361=Yes),F361,)</f>
        <v>0</v>
      </c>
    </row>
    <row r="362" spans="2:25" hidden="1" outlineLevel="2">
      <c r="C362" s="199" t="s">
        <v>254</v>
      </c>
      <c r="D362" s="95" t="s">
        <v>125</v>
      </c>
      <c r="E362" s="124"/>
      <c r="F362" s="137"/>
      <c r="G362" s="58">
        <f>IF(AND($E$343=YearWithinRange,E362=Yes),F362,)</f>
        <v>0</v>
      </c>
    </row>
    <row r="363" spans="2:25" customFormat="1" hidden="1" outlineLevel="1" collapsed="1"/>
    <row r="364" spans="2:25" collapsed="1">
      <c r="B364"/>
    </row>
    <row r="365" spans="2:25" ht="26.1">
      <c r="C365" s="164" t="s">
        <v>274</v>
      </c>
      <c r="D365" s="21"/>
      <c r="E365" s="21"/>
      <c r="F365" s="21"/>
      <c r="G365" s="21"/>
      <c r="H365" s="21"/>
      <c r="I365" s="21"/>
      <c r="J365" s="21"/>
      <c r="K365" s="21"/>
      <c r="L365" s="21"/>
      <c r="M365" s="21"/>
      <c r="N365" s="21"/>
      <c r="O365" s="21"/>
      <c r="P365" s="21"/>
      <c r="Q365" s="21"/>
      <c r="R365" s="21"/>
      <c r="S365" s="21"/>
      <c r="T365" s="21"/>
      <c r="U365" s="21"/>
      <c r="V365" s="21"/>
      <c r="W365" s="21"/>
      <c r="X365" s="21"/>
      <c r="Y365" s="21"/>
    </row>
    <row r="366" spans="2:25" ht="15" hidden="1" outlineLevel="1" thickBot="1">
      <c r="B366"/>
    </row>
    <row r="367" spans="2:25" hidden="1" outlineLevel="1">
      <c r="B367"/>
      <c r="C367" s="170" t="s">
        <v>216</v>
      </c>
      <c r="D367" s="109"/>
      <c r="E367" s="110"/>
    </row>
    <row r="368" spans="2:25" ht="47.45" hidden="1" customHeight="1" outlineLevel="1" thickBot="1">
      <c r="B368"/>
      <c r="C368" s="413" t="s">
        <v>275</v>
      </c>
      <c r="D368" s="414"/>
      <c r="E368" s="415"/>
    </row>
    <row r="369" spans="2:25" hidden="1" outlineLevel="1">
      <c r="C369" s="170" t="s">
        <v>276</v>
      </c>
      <c r="D369" s="109"/>
      <c r="E369" s="110"/>
    </row>
    <row r="370" spans="2:25" ht="31.5" hidden="1" customHeight="1" outlineLevel="1" thickBot="1">
      <c r="C370" s="416" t="s">
        <v>277</v>
      </c>
      <c r="D370" s="417"/>
      <c r="E370" s="418"/>
    </row>
    <row r="371" spans="2:25" hidden="1" outlineLevel="1">
      <c r="B371"/>
    </row>
    <row r="372" spans="2:25" hidden="1" outlineLevel="1">
      <c r="B372"/>
      <c r="C372" s="144" t="s">
        <v>278</v>
      </c>
      <c r="D372" s="25" t="s">
        <v>94</v>
      </c>
      <c r="E372" s="25" t="s">
        <v>95</v>
      </c>
    </row>
    <row r="373" spans="2:25" hidden="1" outlineLevel="1">
      <c r="B373"/>
      <c r="C373" s="20" t="s">
        <v>96</v>
      </c>
      <c r="D373" s="37">
        <f>'Input - General and Overview'!G24</f>
        <v>2028</v>
      </c>
      <c r="E373" s="37">
        <f>'Input - General and Overview'!H24</f>
        <v>2055</v>
      </c>
    </row>
    <row r="374" spans="2:25" customFormat="1" hidden="1" outlineLevel="1"/>
    <row r="375" spans="2:25" customFormat="1" hidden="1" outlineLevel="1">
      <c r="C375" s="27" t="s">
        <v>279</v>
      </c>
      <c r="D375" s="27" t="s">
        <v>99</v>
      </c>
      <c r="E375" s="19" t="s">
        <v>223</v>
      </c>
      <c r="F375" s="19" t="s">
        <v>280</v>
      </c>
      <c r="G375" s="19" t="s">
        <v>281</v>
      </c>
    </row>
    <row r="376" spans="2:25" hidden="1" outlineLevel="1">
      <c r="B376"/>
      <c r="C376" s="120" t="s">
        <v>282</v>
      </c>
      <c r="D376" s="93" t="s">
        <v>283</v>
      </c>
      <c r="E376" s="206">
        <v>0</v>
      </c>
      <c r="F376" s="402">
        <f>(E376*E377)</f>
        <v>0</v>
      </c>
      <c r="G376" s="402">
        <f>(E376*E377*(E373-D373))</f>
        <v>0</v>
      </c>
    </row>
    <row r="377" spans="2:25" hidden="1" outlineLevel="1">
      <c r="B377"/>
      <c r="C377" s="120" t="s">
        <v>284</v>
      </c>
      <c r="D377" s="93" t="s">
        <v>285</v>
      </c>
      <c r="E377" s="107">
        <v>0</v>
      </c>
      <c r="F377" s="403"/>
      <c r="G377" s="403"/>
    </row>
    <row r="378" spans="2:25" collapsed="1">
      <c r="B378"/>
    </row>
    <row r="379" spans="2:25" ht="26.1">
      <c r="C379" s="164" t="s">
        <v>286</v>
      </c>
      <c r="D379" s="21"/>
      <c r="E379" s="21"/>
      <c r="F379" s="21"/>
      <c r="G379" s="21"/>
      <c r="H379" s="21"/>
      <c r="I379" s="21"/>
      <c r="J379" s="21"/>
      <c r="K379" s="21"/>
      <c r="L379" s="21"/>
      <c r="M379" s="21"/>
      <c r="N379" s="21"/>
      <c r="O379" s="21"/>
      <c r="P379" s="21"/>
      <c r="Q379" s="21"/>
      <c r="R379" s="21"/>
      <c r="S379" s="21"/>
      <c r="T379" s="21"/>
      <c r="U379" s="21"/>
      <c r="V379" s="21"/>
      <c r="W379" s="21"/>
      <c r="X379" s="21"/>
      <c r="Y379" s="21"/>
    </row>
    <row r="380" spans="2:25" ht="15" hidden="1" outlineLevel="1" thickBot="1"/>
    <row r="381" spans="2:25" hidden="1" outlineLevel="1">
      <c r="C381" s="171" t="s">
        <v>287</v>
      </c>
      <c r="D381" s="172"/>
      <c r="E381" s="110"/>
    </row>
    <row r="382" spans="2:25" ht="32.450000000000003" hidden="1" customHeight="1" outlineLevel="1" thickBot="1">
      <c r="C382" s="416" t="s">
        <v>288</v>
      </c>
      <c r="D382" s="417"/>
      <c r="E382" s="418"/>
    </row>
    <row r="383" spans="2:25" hidden="1" outlineLevel="1">
      <c r="C383" s="170" t="s">
        <v>276</v>
      </c>
      <c r="D383" s="109"/>
      <c r="E383" s="110"/>
    </row>
    <row r="384" spans="2:25" ht="44.1" hidden="1" customHeight="1" outlineLevel="1">
      <c r="C384" s="451" t="s">
        <v>289</v>
      </c>
      <c r="D384" s="452"/>
      <c r="E384" s="453"/>
    </row>
    <row r="385" spans="3:7" ht="4.5" hidden="1" customHeight="1" outlineLevel="1" thickBot="1">
      <c r="C385" s="113"/>
      <c r="D385" s="114"/>
      <c r="E385" s="115"/>
    </row>
    <row r="386" spans="3:7" hidden="1" outlineLevel="1"/>
    <row r="387" spans="3:7" hidden="1" outlineLevel="1">
      <c r="C387" s="144" t="s">
        <v>290</v>
      </c>
      <c r="D387" s="25" t="s">
        <v>94</v>
      </c>
      <c r="E387" s="25" t="s">
        <v>95</v>
      </c>
    </row>
    <row r="388" spans="3:7" hidden="1" outlineLevel="1">
      <c r="C388" s="20" t="s">
        <v>96</v>
      </c>
      <c r="D388" s="37">
        <f>'Input - General and Overview'!G25</f>
        <v>2025</v>
      </c>
      <c r="E388" s="37">
        <f>'Input - General and Overview'!H25</f>
        <v>2030</v>
      </c>
      <c r="F388" s="121"/>
    </row>
    <row r="389" spans="3:7" hidden="1" outlineLevel="1"/>
    <row r="390" spans="3:7" hidden="1" outlineLevel="1">
      <c r="C390" s="25" t="s">
        <v>279</v>
      </c>
      <c r="D390" s="19" t="s">
        <v>99</v>
      </c>
      <c r="E390" s="27" t="s">
        <v>100</v>
      </c>
      <c r="F390" s="19" t="s">
        <v>223</v>
      </c>
      <c r="G390" s="19" t="s">
        <v>281</v>
      </c>
    </row>
    <row r="391" spans="3:7" hidden="1" outlineLevel="1">
      <c r="C391" s="120" t="s">
        <v>291</v>
      </c>
      <c r="D391" s="93" t="s">
        <v>292</v>
      </c>
      <c r="E391" s="450"/>
      <c r="F391" s="139">
        <v>1</v>
      </c>
      <c r="G391" s="402">
        <f>IF(AND(D388&gt;0,E388&gt;0,E391=Yes),F391*F392,)</f>
        <v>0</v>
      </c>
    </row>
    <row r="392" spans="3:7" hidden="1" outlineLevel="1">
      <c r="C392" s="120" t="s">
        <v>293</v>
      </c>
      <c r="D392" s="93" t="s">
        <v>285</v>
      </c>
      <c r="E392" s="450"/>
      <c r="F392" s="107">
        <v>0</v>
      </c>
      <c r="G392" s="403"/>
    </row>
    <row r="393" spans="3:7" hidden="1" outlineLevel="1">
      <c r="C393" s="140"/>
    </row>
    <row r="394" spans="3:7" hidden="1" outlineLevel="1">
      <c r="C394" s="443" t="s">
        <v>294</v>
      </c>
      <c r="D394" s="444"/>
      <c r="E394" s="445"/>
      <c r="F394" s="148" t="str">
        <f>IF('Option 2 - Cashflow'!H366&gt;0,"THERE IS DATA IN THE MANUAL PART OF THE CASHFLOW BEING INCLUDED WITHIN THE MRV TOTAL","No data in the manual part of the cashflow")</f>
        <v>No data in the manual part of the cashflow</v>
      </c>
      <c r="G394" s="148"/>
    </row>
    <row r="395" spans="3:7" collapsed="1">
      <c r="C395" s="138"/>
    </row>
  </sheetData>
  <mergeCells count="94">
    <mergeCell ref="E282:E283"/>
    <mergeCell ref="C384:E384"/>
    <mergeCell ref="C370:E370"/>
    <mergeCell ref="E303:E304"/>
    <mergeCell ref="E324:E325"/>
    <mergeCell ref="E345:E346"/>
    <mergeCell ref="G391:G392"/>
    <mergeCell ref="E391:E392"/>
    <mergeCell ref="G376:G377"/>
    <mergeCell ref="F376:F377"/>
    <mergeCell ref="C368:E368"/>
    <mergeCell ref="C382:E382"/>
    <mergeCell ref="A84:A93"/>
    <mergeCell ref="E85:E86"/>
    <mergeCell ref="C394:E394"/>
    <mergeCell ref="E111:E112"/>
    <mergeCell ref="B107:B116"/>
    <mergeCell ref="B219:B220"/>
    <mergeCell ref="E177:E178"/>
    <mergeCell ref="B221:B229"/>
    <mergeCell ref="B240:B241"/>
    <mergeCell ref="D240:D241"/>
    <mergeCell ref="B119:B124"/>
    <mergeCell ref="D111:D112"/>
    <mergeCell ref="E102:E103"/>
    <mergeCell ref="B347:B355"/>
    <mergeCell ref="E198:E199"/>
    <mergeCell ref="D261:D262"/>
    <mergeCell ref="B14:B19"/>
    <mergeCell ref="B24:B28"/>
    <mergeCell ref="B20:B23"/>
    <mergeCell ref="B156:B157"/>
    <mergeCell ref="D156:D157"/>
    <mergeCell ref="D96:E96"/>
    <mergeCell ref="E156:E157"/>
    <mergeCell ref="B102:B103"/>
    <mergeCell ref="B104:B106"/>
    <mergeCell ref="E150:E151"/>
    <mergeCell ref="C80:E80"/>
    <mergeCell ref="C98:E98"/>
    <mergeCell ref="C99:E99"/>
    <mergeCell ref="C81:E82"/>
    <mergeCell ref="D102:D103"/>
    <mergeCell ref="I150:I151"/>
    <mergeCell ref="C143:E143"/>
    <mergeCell ref="C59:E59"/>
    <mergeCell ref="C8:E8"/>
    <mergeCell ref="C7:E7"/>
    <mergeCell ref="C44:E44"/>
    <mergeCell ref="C45:E45"/>
    <mergeCell ref="C58:E58"/>
    <mergeCell ref="G68:G69"/>
    <mergeCell ref="E68:E69"/>
    <mergeCell ref="C144:E144"/>
    <mergeCell ref="D78:E78"/>
    <mergeCell ref="G111:G112"/>
    <mergeCell ref="G102:G103"/>
    <mergeCell ref="F150:F151"/>
    <mergeCell ref="G85:G86"/>
    <mergeCell ref="B305:B313"/>
    <mergeCell ref="B324:B325"/>
    <mergeCell ref="D324:D325"/>
    <mergeCell ref="B326:B334"/>
    <mergeCell ref="B345:B346"/>
    <mergeCell ref="D345:D346"/>
    <mergeCell ref="B284:B292"/>
    <mergeCell ref="B303:B304"/>
    <mergeCell ref="D303:D304"/>
    <mergeCell ref="B263:B271"/>
    <mergeCell ref="B282:B283"/>
    <mergeCell ref="D282:D283"/>
    <mergeCell ref="H156:H157"/>
    <mergeCell ref="B242:B250"/>
    <mergeCell ref="B261:B262"/>
    <mergeCell ref="B200:B208"/>
    <mergeCell ref="B177:B178"/>
    <mergeCell ref="D177:D178"/>
    <mergeCell ref="B179:B187"/>
    <mergeCell ref="B198:B199"/>
    <mergeCell ref="D198:D199"/>
    <mergeCell ref="D219:D220"/>
    <mergeCell ref="E240:E241"/>
    <mergeCell ref="B158:B166"/>
    <mergeCell ref="E261:E262"/>
    <mergeCell ref="E219:E220"/>
    <mergeCell ref="H177:H178"/>
    <mergeCell ref="H198:H199"/>
    <mergeCell ref="H324:H325"/>
    <mergeCell ref="H345:H346"/>
    <mergeCell ref="H219:H220"/>
    <mergeCell ref="H240:H241"/>
    <mergeCell ref="H261:H262"/>
    <mergeCell ref="H282:H283"/>
    <mergeCell ref="H303:H304"/>
  </mergeCells>
  <phoneticPr fontId="14" type="noConversion"/>
  <conditionalFormatting sqref="C114:C115 C104">
    <cfRule type="duplicateValues" dxfId="61" priority="342"/>
  </conditionalFormatting>
  <conditionalFormatting sqref="C116">
    <cfRule type="duplicateValues" dxfId="60" priority="349"/>
  </conditionalFormatting>
  <conditionalFormatting sqref="C119">
    <cfRule type="duplicateValues" dxfId="59" priority="178"/>
  </conditionalFormatting>
  <conditionalFormatting sqref="C120">
    <cfRule type="duplicateValues" dxfId="58" priority="175"/>
  </conditionalFormatting>
  <conditionalFormatting sqref="C121:C123 C109">
    <cfRule type="duplicateValues" dxfId="57" priority="348"/>
  </conditionalFormatting>
  <conditionalFormatting sqref="D78:E78">
    <cfRule type="containsText" dxfId="56" priority="238" operator="containsText" text="not">
      <formula>NOT(ISERROR(SEARCH("not",D78)))</formula>
    </cfRule>
  </conditionalFormatting>
  <conditionalFormatting sqref="D96:E96">
    <cfRule type="containsText" dxfId="55" priority="237" operator="containsText" text="not">
      <formula>NOT(ISERROR(SEARCH("not",D96)))</formula>
    </cfRule>
  </conditionalFormatting>
  <conditionalFormatting sqref="E154 E175 E196 E217 E238 E259 E280 E301 E322 E343">
    <cfRule type="containsText" dxfId="54" priority="2" operator="containsText" text="YEAR WITHIN RANGE">
      <formula>NOT(ISERROR(SEARCH("YEAR WITHIN RANGE",E154)))</formula>
    </cfRule>
  </conditionalFormatting>
  <conditionalFormatting sqref="E154">
    <cfRule type="cellIs" dxfId="53" priority="53" operator="equal">
      <formula>"OKAY"</formula>
    </cfRule>
    <cfRule type="containsText" dxfId="52" priority="52" operator="containsText" text="OKAY">
      <formula>NOT(ISERROR(SEARCH("OKAY",E154)))</formula>
    </cfRule>
    <cfRule type="containsText" dxfId="51" priority="51" operator="containsText" text="ERROR">
      <formula>NOT(ISERROR(SEARCH("ERROR",E154)))</formula>
    </cfRule>
  </conditionalFormatting>
  <conditionalFormatting sqref="E175 E196 E217 E238 E259 E154">
    <cfRule type="containsText" dxfId="50" priority="34" operator="containsText" text="NOT INCLUDED">
      <formula>NOT(ISERROR(SEARCH("NOT INCLUDED",E154)))</formula>
    </cfRule>
  </conditionalFormatting>
  <conditionalFormatting sqref="E175">
    <cfRule type="containsText" dxfId="49" priority="32" operator="containsText" text="OKAY">
      <formula>NOT(ISERROR(SEARCH("OKAY",E175)))</formula>
    </cfRule>
    <cfRule type="containsText" dxfId="48" priority="31" operator="containsText" text="ERROR">
      <formula>NOT(ISERROR(SEARCH("ERROR",E175)))</formula>
    </cfRule>
    <cfRule type="containsText" dxfId="47" priority="49" operator="containsText" text="OKAY">
      <formula>NOT(ISERROR(SEARCH("OKAY",E175)))</formula>
    </cfRule>
    <cfRule type="cellIs" dxfId="46" priority="50" operator="equal">
      <formula>"OKAY"</formula>
    </cfRule>
    <cfRule type="containsText" dxfId="45" priority="48" operator="containsText" text="ERROR">
      <formula>NOT(ISERROR(SEARCH("ERROR",E175)))</formula>
    </cfRule>
    <cfRule type="cellIs" dxfId="44" priority="33" operator="equal">
      <formula>"OKAY"</formula>
    </cfRule>
  </conditionalFormatting>
  <conditionalFormatting sqref="E196">
    <cfRule type="cellIs" dxfId="43" priority="30" operator="equal">
      <formula>"OKAY"</formula>
    </cfRule>
    <cfRule type="containsText" dxfId="42" priority="28" operator="containsText" text="ERROR">
      <formula>NOT(ISERROR(SEARCH("ERROR",E196)))</formula>
    </cfRule>
    <cfRule type="containsText" dxfId="41" priority="29" operator="containsText" text="OKAY">
      <formula>NOT(ISERROR(SEARCH("OKAY",E196)))</formula>
    </cfRule>
    <cfRule type="cellIs" dxfId="40" priority="47" operator="equal">
      <formula>"OKAY"</formula>
    </cfRule>
    <cfRule type="containsText" dxfId="39" priority="46" operator="containsText" text="OKAY">
      <formula>NOT(ISERROR(SEARCH("OKAY",E196)))</formula>
    </cfRule>
    <cfRule type="containsText" dxfId="38" priority="45" operator="containsText" text="ERROR">
      <formula>NOT(ISERROR(SEARCH("ERROR",E196)))</formula>
    </cfRule>
  </conditionalFormatting>
  <conditionalFormatting sqref="E217">
    <cfRule type="cellIs" dxfId="37" priority="27" operator="equal">
      <formula>"OKAY"</formula>
    </cfRule>
    <cfRule type="containsText" dxfId="36" priority="25" operator="containsText" text="ERROR">
      <formula>NOT(ISERROR(SEARCH("ERROR",E217)))</formula>
    </cfRule>
    <cfRule type="containsText" dxfId="35" priority="42" operator="containsText" text="ERROR">
      <formula>NOT(ISERROR(SEARCH("ERROR",E217)))</formula>
    </cfRule>
    <cfRule type="containsText" dxfId="34" priority="43" operator="containsText" text="OKAY">
      <formula>NOT(ISERROR(SEARCH("OKAY",E217)))</formula>
    </cfRule>
    <cfRule type="cellIs" dxfId="33" priority="44" operator="equal">
      <formula>"OKAY"</formula>
    </cfRule>
    <cfRule type="containsText" dxfId="32" priority="26" operator="containsText" text="OKAY">
      <formula>NOT(ISERROR(SEARCH("OKAY",E217)))</formula>
    </cfRule>
  </conditionalFormatting>
  <conditionalFormatting sqref="E238">
    <cfRule type="containsText" dxfId="31" priority="39" operator="containsText" text="ERROR">
      <formula>NOT(ISERROR(SEARCH("ERROR",E238)))</formula>
    </cfRule>
    <cfRule type="containsText" dxfId="30" priority="40" operator="containsText" text="OKAY">
      <formula>NOT(ISERROR(SEARCH("OKAY",E238)))</formula>
    </cfRule>
    <cfRule type="cellIs" dxfId="29" priority="41" operator="equal">
      <formula>"OKAY"</formula>
    </cfRule>
    <cfRule type="cellIs" dxfId="28" priority="24" operator="equal">
      <formula>"OKAY"</formula>
    </cfRule>
    <cfRule type="containsText" dxfId="27" priority="23" operator="containsText" text="OKAY">
      <formula>NOT(ISERROR(SEARCH("OKAY",E238)))</formula>
    </cfRule>
    <cfRule type="containsText" dxfId="26" priority="22" operator="containsText" text="ERROR">
      <formula>NOT(ISERROR(SEARCH("ERROR",E238)))</formula>
    </cfRule>
  </conditionalFormatting>
  <conditionalFormatting sqref="E259">
    <cfRule type="containsText" dxfId="25" priority="37" operator="containsText" text="OKAY">
      <formula>NOT(ISERROR(SEARCH("OKAY",E259)))</formula>
    </cfRule>
    <cfRule type="cellIs" dxfId="24" priority="38" operator="equal">
      <formula>"OKAY"</formula>
    </cfRule>
    <cfRule type="containsText" dxfId="23" priority="36" operator="containsText" text="ERROR">
      <formula>NOT(ISERROR(SEARCH("ERROR",E259)))</formula>
    </cfRule>
    <cfRule type="cellIs" dxfId="22" priority="21" operator="equal">
      <formula>"OKAY"</formula>
    </cfRule>
    <cfRule type="containsText" dxfId="21" priority="20" operator="containsText" text="OKAY">
      <formula>NOT(ISERROR(SEARCH("OKAY",E259)))</formula>
    </cfRule>
    <cfRule type="containsText" dxfId="20" priority="19" operator="containsText" text="ERROR">
      <formula>NOT(ISERROR(SEARCH("ERROR",E259)))</formula>
    </cfRule>
  </conditionalFormatting>
  <conditionalFormatting sqref="E280">
    <cfRule type="containsText" dxfId="19" priority="15" operator="containsText" text="NOT INCLUDED">
      <formula>NOT(ISERROR(SEARCH("NOT INCLUDED",E280)))</formula>
    </cfRule>
    <cfRule type="cellIs" dxfId="18" priority="18" operator="equal">
      <formula>"OKAY"</formula>
    </cfRule>
    <cfRule type="containsText" dxfId="17" priority="17" operator="containsText" text="OKAY">
      <formula>NOT(ISERROR(SEARCH("OKAY",E280)))</formula>
    </cfRule>
    <cfRule type="containsText" dxfId="16" priority="16" operator="containsText" text="ERROR">
      <formula>NOT(ISERROR(SEARCH("ERROR",E280)))</formula>
    </cfRule>
  </conditionalFormatting>
  <conditionalFormatting sqref="E301">
    <cfRule type="cellIs" dxfId="15" priority="14" operator="equal">
      <formula>"OKAY"</formula>
    </cfRule>
    <cfRule type="containsText" dxfId="14" priority="13" operator="containsText" text="OKAY">
      <formula>NOT(ISERROR(SEARCH("OKAY",E301)))</formula>
    </cfRule>
    <cfRule type="containsText" dxfId="13" priority="12" operator="containsText" text="ERROR">
      <formula>NOT(ISERROR(SEARCH("ERROR",E301)))</formula>
    </cfRule>
    <cfRule type="containsText" dxfId="12" priority="11" operator="containsText" text="NOT INCLUDED">
      <formula>NOT(ISERROR(SEARCH("NOT INCLUDED",E301)))</formula>
    </cfRule>
  </conditionalFormatting>
  <conditionalFormatting sqref="E322">
    <cfRule type="containsText" dxfId="11" priority="8" operator="containsText" text="ERROR">
      <formula>NOT(ISERROR(SEARCH("ERROR",E322)))</formula>
    </cfRule>
    <cfRule type="cellIs" dxfId="10" priority="10" operator="equal">
      <formula>"OKAY"</formula>
    </cfRule>
    <cfRule type="containsText" dxfId="9" priority="9" operator="containsText" text="OKAY">
      <formula>NOT(ISERROR(SEARCH("OKAY",E322)))</formula>
    </cfRule>
    <cfRule type="containsText" dxfId="8" priority="7" operator="containsText" text="NOT INCLUDED">
      <formula>NOT(ISERROR(SEARCH("NOT INCLUDED",E322)))</formula>
    </cfRule>
  </conditionalFormatting>
  <conditionalFormatting sqref="E343">
    <cfRule type="containsText" dxfId="7" priority="3" operator="containsText" text="NOT INCLUDED">
      <formula>NOT(ISERROR(SEARCH("NOT INCLUDED",E343)))</formula>
    </cfRule>
    <cfRule type="containsText" dxfId="6" priority="4" operator="containsText" text="ERROR">
      <formula>NOT(ISERROR(SEARCH("ERROR",E343)))</formula>
    </cfRule>
    <cfRule type="containsText" dxfId="5" priority="5" operator="containsText" text="OKAY">
      <formula>NOT(ISERROR(SEARCH("OKAY",E343)))</formula>
    </cfRule>
    <cfRule type="cellIs" dxfId="4" priority="6" operator="equal">
      <formula>"OKAY"</formula>
    </cfRule>
  </conditionalFormatting>
  <conditionalFormatting sqref="F152">
    <cfRule type="containsText" dxfId="3" priority="1" operator="containsText" text="YEAR WITHIN RANGE">
      <formula>NOT(ISERROR(SEARCH("YEAR WITHIN RANGE",F152)))</formula>
    </cfRule>
    <cfRule type="containsText" dxfId="2" priority="162" operator="containsText" text="ERROR">
      <formula>NOT(ISERROR(SEARCH("ERROR",F152)))</formula>
    </cfRule>
    <cfRule type="containsText" dxfId="1" priority="163" operator="containsText" text="OKAY">
      <formula>NOT(ISERROR(SEARCH("OKAY",F152)))</formula>
    </cfRule>
    <cfRule type="cellIs" dxfId="0" priority="164" operator="equal">
      <formula>"OKAY"</formula>
    </cfRule>
  </conditionalFormatting>
  <dataValidations count="17">
    <dataValidation type="list" allowBlank="1" showInputMessage="1" showErrorMessage="1" sqref="P30" xr:uid="{8B0DE7AB-EF90-496C-8618-DF388BB95839}">
      <formula1>"[Select], Yes, No"</formula1>
    </dataValidation>
    <dataValidation type="list" allowBlank="1" showInputMessage="1" showErrorMessage="1" sqref="D100 E68 E89:E93 E85 E284:E292 E102 E104:E109 E119:E124 E127:E136 E391 E70 E114:E116 E263:E271 E326:E334 E274:E278 E295:E299 E158:E166 E221:E229 E232:E236 E242:E250 E305:E313 E316:E320 E337:E341 E179:E187 E169:E173 E190:E194 E14:E28 E200:E208 E253:E257 E261 E282 E156 E150 E324 E177 E211:E215 E198 E303 E219 E240 E347:E355 E358:E362 E345" xr:uid="{5C20A6B8-8BD5-46B5-90AB-2A248CAD4E52}">
      <formula1>"Yes, No"</formula1>
    </dataValidation>
    <dataValidation type="list" allowBlank="1" showInputMessage="1" showErrorMessage="1" sqref="E87:E88" xr:uid="{D19B79AF-856F-4424-A67E-5D0429DCEBDF}">
      <formula1>YesNo</formula1>
    </dataValidation>
    <dataValidation type="list" allowBlank="1" showInputMessage="1" showErrorMessage="1" prompt="Consider i) if you need licenses or permits for closing the road(s) (e.g., Section 171); ii) how many you will need" sqref="E71:E76" xr:uid="{E4AAFC65-91D3-498E-8816-1DE8A1219B05}">
      <formula1>"Yes, No"</formula1>
    </dataValidation>
    <dataValidation type="list" allowBlank="1" showInputMessage="1" showErrorMessage="1" prompt="Need to provide adequate rooting space (depending on soil, clay, etc.)" sqref="E111" xr:uid="{FB9B61EB-3FB2-4F84-86DD-EBF72A229E01}">
      <formula1>"Yes, No"</formula1>
    </dataValidation>
    <dataValidation type="list" allowBlank="1" showInputMessage="1" showErrorMessage="1" prompt="Will depend on how much rooting mass can be removed and depends on what species are planted back.  " sqref="E114:E116 E104:E109" xr:uid="{1BFC2E3D-F204-4424-8C77-AAF7999776A1}">
      <formula1>"Yes, No"</formula1>
    </dataValidation>
    <dataValidation allowBlank="1" showInputMessage="1" showErrorMessage="1" prompt="If working with total amount, can just put 1 and full cost in the next column." sqref="F114:F116 F104:F110" xr:uid="{AFA444C2-5E05-431F-94B3-3B6A774715FA}"/>
    <dataValidation type="list" allowBlank="1" showInputMessage="1" showErrorMessage="1" prompt="Useful resource: TDAG's Trees in Hard ﻿L﻿andscapes: ﻿﻿﻿A﻿ ﻿﻿Guide for Delivery. Link:_x000a_https://www.tdag.org.uk/trees-in-hard-landscapes.html" sqref="E107 E110 E113:E116" xr:uid="{B8040D87-9238-4DEF-8A7E-D2FF3184E6E6}">
      <formula1>"Yes, No"</formula1>
    </dataValidation>
    <dataValidation allowBlank="1" showInputMessage="1" showErrorMessage="1" prompt="This figure will be multiplied by the total number of trees in the 'Final Costs excl. inflation' cell" sqref="E51" xr:uid="{C372B199-793C-4694-B094-5FC827B70B6C}"/>
    <dataValidation allowBlank="1" showInputMessage="1" showErrorMessage="1" prompt="The bulk discount will only be factored in if more than 0% inserted" sqref="E52" xr:uid="{924F09EC-704C-4FFF-8FB1-00DDFC3DB351}"/>
    <dataValidation allowBlank="1" showInputMessage="1" showErrorMessage="1" prompt="Include the total delivery for all trees" sqref="E53" xr:uid="{D2104D46-F2EC-4DFB-9817-CC2078C5C949}"/>
    <dataValidation allowBlank="1" showInputMessage="1" showErrorMessage="1" prompt="If working with the total amount (£), insert 1 as the amount and input the full cost in the next column." sqref="F119:F124" xr:uid="{9555C5F1-71E4-4445-BE76-2C3B20EE4B63}"/>
    <dataValidation allowBlank="1" showInputMessage="1" showErrorMessage="1" prompt="Make sure that this is within the time frame of 'costs start in' and 'costs end in' at the top of the section." sqref="F150:F151" xr:uid="{1BD035FB-F963-4676-A34E-D34AF5BC4B5C}"/>
    <dataValidation allowBlank="1" showInputMessage="1" showErrorMessage="1" prompt="Examples might include: Woodland Planting Contractor; Urban Tree Planting Contractor; Site manager/ranger; Land manager; Tree officer; Ecologist; Landscape Architect; Project Manager; Highways engineer; Ganger/Mason Paviour; Roadman/Driver, etc." sqref="F14:F28" xr:uid="{D13F6A3C-AEBA-4A8E-B046-6E8A57C8083F}"/>
    <dataValidation allowBlank="1" showInputMessage="1" showErrorMessage="1" prompt="Refer to staff costs available in “Cost Data” spreadsheet" sqref="G14:G28" xr:uid="{D91B4947-539A-47C3-87CE-66992FFC3A81}"/>
    <dataValidation allowBlank="1" showInputMessage="1" showErrorMessage="1" prompt="(e.g. Admin and reporting to obtain grants, etc.)" sqref="C31 C74 C89" xr:uid="{4EB3DD89-1D7F-45A6-A065-1FBB85BDA82C}"/>
    <dataValidation allowBlank="1" showInputMessage="1" showErrorMessage="1" prompt="Please ensure that there is a minimum of 1 in this cell, to ensure the model functions correctly. " sqref="F391" xr:uid="{4A463FD6-AB30-41B5-8336-E000F40DB46A}"/>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0CBBD-E45A-445D-9A7F-C3C07A73B222}">
  <sheetPr>
    <tabColor theme="5" tint="0.39997558519241921"/>
  </sheetPr>
  <dimension ref="A1:FG302"/>
  <sheetViews>
    <sheetView showGridLines="0" zoomScale="70" zoomScaleNormal="70" workbookViewId="0"/>
  </sheetViews>
  <sheetFormatPr defaultColWidth="0" defaultRowHeight="14.45" outlineLevelRow="1"/>
  <cols>
    <col min="1" max="1" width="5.42578125" customWidth="1"/>
    <col min="2" max="2" width="47.28515625" bestFit="1" customWidth="1"/>
    <col min="3" max="3" width="38.140625" bestFit="1" customWidth="1"/>
    <col min="4" max="4" width="13.7109375" bestFit="1" customWidth="1"/>
    <col min="5" max="5" width="10.140625" customWidth="1"/>
    <col min="6" max="6" width="9.28515625" customWidth="1"/>
    <col min="7" max="7" width="7.140625" customWidth="1"/>
    <col min="8" max="8" width="16.42578125" style="230" bestFit="1" customWidth="1"/>
    <col min="9" max="9" width="2.85546875" customWidth="1"/>
    <col min="10" max="10" width="14.28515625" bestFit="1" customWidth="1"/>
    <col min="11" max="11" width="14" bestFit="1" customWidth="1"/>
    <col min="12" max="12" width="13.42578125" bestFit="1" customWidth="1"/>
    <col min="13" max="13" width="14" bestFit="1" customWidth="1"/>
    <col min="14" max="14" width="14.42578125" bestFit="1" customWidth="1"/>
    <col min="15" max="15" width="15" bestFit="1" customWidth="1"/>
    <col min="16" max="16" width="12.28515625" bestFit="1" customWidth="1"/>
    <col min="17" max="17" width="14.42578125" bestFit="1" customWidth="1"/>
    <col min="18" max="18" width="14.28515625" bestFit="1" customWidth="1"/>
    <col min="19" max="19" width="14.7109375" bestFit="1" customWidth="1"/>
    <col min="20" max="20" width="13.7109375" bestFit="1" customWidth="1"/>
    <col min="21" max="21" width="13.42578125" bestFit="1" customWidth="1"/>
    <col min="22" max="22" width="14" bestFit="1" customWidth="1"/>
    <col min="23" max="23" width="13.7109375" bestFit="1" customWidth="1"/>
    <col min="24" max="24" width="12.85546875" customWidth="1"/>
    <col min="25" max="25" width="14.28515625" bestFit="1" customWidth="1"/>
    <col min="26" max="27" width="14.42578125" bestFit="1" customWidth="1"/>
    <col min="28" max="28" width="13.7109375" bestFit="1" customWidth="1"/>
    <col min="29" max="29" width="13.42578125" bestFit="1" customWidth="1"/>
    <col min="30" max="30" width="12.85546875" bestFit="1" customWidth="1"/>
    <col min="31" max="35" width="13.140625" bestFit="1" customWidth="1"/>
    <col min="36" max="36" width="13.42578125" bestFit="1" customWidth="1"/>
    <col min="37" max="38" width="13.140625" bestFit="1" customWidth="1"/>
    <col min="39" max="39" width="13.42578125" bestFit="1" customWidth="1"/>
    <col min="40" max="40" width="13.140625" bestFit="1" customWidth="1"/>
    <col min="41" max="45" width="12.28515625" bestFit="1" customWidth="1"/>
    <col min="46" max="46" width="10.140625" bestFit="1" customWidth="1"/>
    <col min="47" max="50" width="10.140625" hidden="1" customWidth="1"/>
    <col min="51" max="51" width="9.5703125" hidden="1" customWidth="1"/>
    <col min="52" max="70" width="10.140625" hidden="1" customWidth="1"/>
    <col min="71" max="71" width="9.5703125" hidden="1" customWidth="1"/>
    <col min="72" max="80" width="10.140625" hidden="1" customWidth="1"/>
    <col min="81" max="81" width="9.5703125" hidden="1" customWidth="1"/>
    <col min="82" max="90" width="10.140625" hidden="1" customWidth="1"/>
    <col min="91" max="91" width="9.5703125" hidden="1" customWidth="1"/>
    <col min="92" max="100" width="10.140625" hidden="1" customWidth="1"/>
    <col min="101" max="101" width="9.5703125" hidden="1" customWidth="1"/>
    <col min="102" max="109" width="10.140625" hidden="1" customWidth="1"/>
    <col min="110" max="163" width="11" hidden="1" customWidth="1"/>
    <col min="164" max="16384" width="8.85546875" hidden="1"/>
  </cols>
  <sheetData>
    <row r="1" spans="1:140" s="106" customFormat="1" ht="25.5" thickBot="1">
      <c r="A1" s="67" t="s">
        <v>295</v>
      </c>
      <c r="B1" s="67"/>
      <c r="C1" s="62"/>
      <c r="D1" s="62"/>
      <c r="E1" s="62"/>
      <c r="F1" s="62"/>
      <c r="G1" s="62"/>
      <c r="H1" s="62"/>
      <c r="I1" s="62"/>
      <c r="J1" s="62"/>
      <c r="K1" s="62"/>
      <c r="L1" s="62"/>
      <c r="M1" s="62"/>
      <c r="N1" s="62"/>
      <c r="O1" s="62"/>
      <c r="P1" s="62"/>
      <c r="Q1" s="62"/>
      <c r="R1" s="62"/>
      <c r="S1" s="62"/>
      <c r="T1" s="62"/>
      <c r="U1" s="62"/>
      <c r="V1" s="62"/>
      <c r="W1" s="62"/>
      <c r="X1" s="62"/>
      <c r="Y1" s="62"/>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row>
    <row r="2" spans="1:140">
      <c r="A2" s="4" t="s">
        <v>296</v>
      </c>
      <c r="B2" s="4"/>
      <c r="C2" s="4"/>
      <c r="D2" s="8"/>
      <c r="E2" s="4"/>
      <c r="F2" s="4"/>
      <c r="G2" s="4"/>
      <c r="H2" s="229" t="s">
        <v>23</v>
      </c>
      <c r="I2" s="4"/>
      <c r="J2" s="43">
        <v>0</v>
      </c>
      <c r="K2" s="43">
        <f t="shared" ref="K2:AN2" si="0">J2+1</f>
        <v>1</v>
      </c>
      <c r="L2" s="43">
        <f t="shared" si="0"/>
        <v>2</v>
      </c>
      <c r="M2" s="43">
        <f t="shared" si="0"/>
        <v>3</v>
      </c>
      <c r="N2" s="43">
        <f t="shared" si="0"/>
        <v>4</v>
      </c>
      <c r="O2" s="43">
        <f t="shared" si="0"/>
        <v>5</v>
      </c>
      <c r="P2" s="43">
        <f t="shared" si="0"/>
        <v>6</v>
      </c>
      <c r="Q2" s="43">
        <f t="shared" si="0"/>
        <v>7</v>
      </c>
      <c r="R2" s="43">
        <f t="shared" si="0"/>
        <v>8</v>
      </c>
      <c r="S2" s="43">
        <f t="shared" si="0"/>
        <v>9</v>
      </c>
      <c r="T2" s="43">
        <f t="shared" si="0"/>
        <v>10</v>
      </c>
      <c r="U2" s="43">
        <f t="shared" si="0"/>
        <v>11</v>
      </c>
      <c r="V2" s="43">
        <f t="shared" si="0"/>
        <v>12</v>
      </c>
      <c r="W2" s="43">
        <f t="shared" si="0"/>
        <v>13</v>
      </c>
      <c r="X2" s="43">
        <f t="shared" si="0"/>
        <v>14</v>
      </c>
      <c r="Y2" s="43">
        <f t="shared" si="0"/>
        <v>15</v>
      </c>
      <c r="Z2" s="43">
        <f t="shared" si="0"/>
        <v>16</v>
      </c>
      <c r="AA2" s="43">
        <f t="shared" si="0"/>
        <v>17</v>
      </c>
      <c r="AB2" s="43">
        <f t="shared" si="0"/>
        <v>18</v>
      </c>
      <c r="AC2" s="43">
        <f t="shared" si="0"/>
        <v>19</v>
      </c>
      <c r="AD2" s="43">
        <f t="shared" si="0"/>
        <v>20</v>
      </c>
      <c r="AE2" s="43">
        <f t="shared" si="0"/>
        <v>21</v>
      </c>
      <c r="AF2" s="43">
        <f t="shared" si="0"/>
        <v>22</v>
      </c>
      <c r="AG2" s="43">
        <f t="shared" si="0"/>
        <v>23</v>
      </c>
      <c r="AH2" s="43">
        <f t="shared" si="0"/>
        <v>24</v>
      </c>
      <c r="AI2" s="43">
        <f t="shared" si="0"/>
        <v>25</v>
      </c>
      <c r="AJ2" s="43">
        <f t="shared" si="0"/>
        <v>26</v>
      </c>
      <c r="AK2" s="43">
        <f t="shared" si="0"/>
        <v>27</v>
      </c>
      <c r="AL2" s="43">
        <f t="shared" si="0"/>
        <v>28</v>
      </c>
      <c r="AM2" s="43">
        <f t="shared" si="0"/>
        <v>29</v>
      </c>
      <c r="AN2" s="43">
        <f t="shared" si="0"/>
        <v>30</v>
      </c>
    </row>
    <row r="3" spans="1:140">
      <c r="A3" s="4"/>
      <c r="B3" s="9" t="s">
        <v>297</v>
      </c>
      <c r="C3" s="241" t="str">
        <f>'Input - General and Overview'!C12</f>
        <v>Option 1</v>
      </c>
      <c r="D3" s="8"/>
      <c r="E3" s="4"/>
      <c r="F3" s="4" t="s">
        <v>298</v>
      </c>
      <c r="G3" s="45">
        <f>'Input - General and Overview'!C5-'Input - General and Overview'!C4</f>
        <v>30</v>
      </c>
      <c r="H3" s="229"/>
      <c r="I3" s="4"/>
      <c r="J3" s="46">
        <f>'Input - General and Overview'!C4</f>
        <v>2025</v>
      </c>
      <c r="K3" s="46">
        <f>IF(K2&lt;=$G$3,J3+1,0)</f>
        <v>2026</v>
      </c>
      <c r="L3" s="46">
        <f t="shared" ref="L3:AN3" si="1">IF(L2&lt;=$G$3,K3+1,0)</f>
        <v>2027</v>
      </c>
      <c r="M3" s="46">
        <f t="shared" si="1"/>
        <v>2028</v>
      </c>
      <c r="N3" s="46">
        <f t="shared" si="1"/>
        <v>2029</v>
      </c>
      <c r="O3" s="46">
        <f t="shared" si="1"/>
        <v>2030</v>
      </c>
      <c r="P3" s="46">
        <f t="shared" si="1"/>
        <v>2031</v>
      </c>
      <c r="Q3" s="46">
        <f t="shared" si="1"/>
        <v>2032</v>
      </c>
      <c r="R3" s="46">
        <f t="shared" si="1"/>
        <v>2033</v>
      </c>
      <c r="S3" s="46">
        <f t="shared" si="1"/>
        <v>2034</v>
      </c>
      <c r="T3" s="46">
        <f t="shared" si="1"/>
        <v>2035</v>
      </c>
      <c r="U3" s="46">
        <f t="shared" si="1"/>
        <v>2036</v>
      </c>
      <c r="V3" s="46">
        <f t="shared" si="1"/>
        <v>2037</v>
      </c>
      <c r="W3" s="46">
        <f t="shared" si="1"/>
        <v>2038</v>
      </c>
      <c r="X3" s="46">
        <f t="shared" si="1"/>
        <v>2039</v>
      </c>
      <c r="Y3" s="46">
        <f t="shared" si="1"/>
        <v>2040</v>
      </c>
      <c r="Z3" s="46">
        <f t="shared" si="1"/>
        <v>2041</v>
      </c>
      <c r="AA3" s="46">
        <f t="shared" si="1"/>
        <v>2042</v>
      </c>
      <c r="AB3" s="46">
        <f t="shared" si="1"/>
        <v>2043</v>
      </c>
      <c r="AC3" s="46">
        <f t="shared" si="1"/>
        <v>2044</v>
      </c>
      <c r="AD3" s="46">
        <f t="shared" si="1"/>
        <v>2045</v>
      </c>
      <c r="AE3" s="46">
        <f t="shared" si="1"/>
        <v>2046</v>
      </c>
      <c r="AF3" s="46">
        <f t="shared" si="1"/>
        <v>2047</v>
      </c>
      <c r="AG3" s="46">
        <f t="shared" si="1"/>
        <v>2048</v>
      </c>
      <c r="AH3" s="46">
        <f t="shared" si="1"/>
        <v>2049</v>
      </c>
      <c r="AI3" s="46">
        <f t="shared" si="1"/>
        <v>2050</v>
      </c>
      <c r="AJ3" s="46">
        <f t="shared" si="1"/>
        <v>2051</v>
      </c>
      <c r="AK3" s="46">
        <f t="shared" si="1"/>
        <v>2052</v>
      </c>
      <c r="AL3" s="46">
        <f t="shared" si="1"/>
        <v>2053</v>
      </c>
      <c r="AM3" s="46">
        <f t="shared" si="1"/>
        <v>2054</v>
      </c>
      <c r="AN3" s="46">
        <f t="shared" si="1"/>
        <v>2055</v>
      </c>
    </row>
    <row r="4" spans="1:140">
      <c r="B4" s="9" t="s">
        <v>299</v>
      </c>
      <c r="C4" s="241" t="s">
        <v>56</v>
      </c>
      <c r="J4" s="50">
        <v>1</v>
      </c>
      <c r="K4" s="50">
        <f>IF(('Input - General and Overview'!$C$6)="Yes",'Option 1 - Cashflow'!J4*(1+'Input - General and Overview'!$C$7),'Option 1 - Cashflow'!$J$4)</f>
        <v>1.0249999999999999</v>
      </c>
      <c r="L4" s="50">
        <f>IF(('Input - General and Overview'!$C$6)="Yes",'Option 1 - Cashflow'!K4*(1+'Input - General and Overview'!$C$7),'Option 1 - Cashflow'!$J$4)</f>
        <v>1.0506249999999999</v>
      </c>
      <c r="M4" s="50">
        <f>IF(('Input - General and Overview'!$C$6)="Yes",'Option 1 - Cashflow'!L4*(1+'Input - General and Overview'!$C$7),'Option 1 - Cashflow'!$J$4)</f>
        <v>1.0768906249999999</v>
      </c>
      <c r="N4" s="50">
        <f>IF(('Input - General and Overview'!$C$6)="Yes",'Option 1 - Cashflow'!M4*(1+'Input - General and Overview'!$C$7),'Option 1 - Cashflow'!$J$4)</f>
        <v>1.1038128906249998</v>
      </c>
      <c r="O4" s="50">
        <f>IF(('Input - General and Overview'!$C$6)="Yes",'Option 1 - Cashflow'!N4*(1+'Input - General and Overview'!$C$7),'Option 1 - Cashflow'!$J$4)</f>
        <v>1.1314082128906247</v>
      </c>
      <c r="P4" s="50">
        <f>IF(('Input - General and Overview'!$C$6)="Yes",'Option 1 - Cashflow'!O4*(1+'Input - General and Overview'!$C$7),'Option 1 - Cashflow'!$J$4)</f>
        <v>1.1596934182128902</v>
      </c>
      <c r="Q4" s="50">
        <f>IF(('Input - General and Overview'!$C$6)="Yes",'Option 1 - Cashflow'!P4*(1+'Input - General and Overview'!$C$7),'Option 1 - Cashflow'!$J$4)</f>
        <v>1.1886857536682123</v>
      </c>
      <c r="R4" s="50">
        <f>IF(('Input - General and Overview'!$C$6)="Yes",'Option 1 - Cashflow'!Q4*(1+'Input - General and Overview'!$C$7),'Option 1 - Cashflow'!$J$4)</f>
        <v>1.2184028975099175</v>
      </c>
      <c r="S4" s="50">
        <f>IF(('Input - General and Overview'!$C$6)="Yes",'Option 1 - Cashflow'!R4*(1+'Input - General and Overview'!$C$7),'Option 1 - Cashflow'!$J$4)</f>
        <v>1.2488629699476652</v>
      </c>
      <c r="T4" s="50">
        <f>IF(('Input - General and Overview'!$C$6)="Yes",'Option 1 - Cashflow'!S4*(1+'Input - General and Overview'!$C$7),'Option 1 - Cashflow'!$J$4)</f>
        <v>1.2800845441963566</v>
      </c>
      <c r="U4" s="50">
        <f>IF(('Input - General and Overview'!$C$6)="Yes",'Option 1 - Cashflow'!T4*(1+'Input - General and Overview'!$C$7),'Option 1 - Cashflow'!$J$4)</f>
        <v>1.3120866578012655</v>
      </c>
      <c r="V4" s="50">
        <f>IF(('Input - General and Overview'!$C$6)="Yes",'Option 1 - Cashflow'!U4*(1+'Input - General and Overview'!$C$7),'Option 1 - Cashflow'!$J$4)</f>
        <v>1.3448888242462971</v>
      </c>
      <c r="W4" s="50">
        <f>IF(('Input - General and Overview'!$C$6)="Yes",'Option 1 - Cashflow'!V4*(1+'Input - General and Overview'!$C$7),'Option 1 - Cashflow'!$J$4)</f>
        <v>1.3785110448524545</v>
      </c>
      <c r="X4" s="50">
        <f>IF(('Input - General and Overview'!$C$6)="Yes",'Option 1 - Cashflow'!W4*(1+'Input - General and Overview'!$C$7),'Option 1 - Cashflow'!$J$4)</f>
        <v>1.4129738209737657</v>
      </c>
      <c r="Y4" s="50">
        <f>IF(('Input - General and Overview'!$C$6)="Yes",'Option 1 - Cashflow'!X4*(1+'Input - General and Overview'!$C$7),'Option 1 - Cashflow'!$J$4)</f>
        <v>1.4482981664981096</v>
      </c>
      <c r="Z4" s="50">
        <f>IF(('Input - General and Overview'!$C$6)="Yes",'Option 1 - Cashflow'!Y4*(1+'Input - General and Overview'!$C$7),'Option 1 - Cashflow'!$J$4)</f>
        <v>1.4845056206605622</v>
      </c>
      <c r="AA4" s="50">
        <f>IF(('Input - General and Overview'!$C$6)="Yes",'Option 1 - Cashflow'!Z4*(1+'Input - General and Overview'!$C$7),'Option 1 - Cashflow'!$J$4)</f>
        <v>1.5216182611770761</v>
      </c>
      <c r="AB4" s="50">
        <f>IF(('Input - General and Overview'!$C$6)="Yes",'Option 1 - Cashflow'!AA4*(1+'Input - General and Overview'!$C$7),'Option 1 - Cashflow'!$J$4)</f>
        <v>1.5596587177065029</v>
      </c>
      <c r="AC4" s="50">
        <f>IF(('Input - General and Overview'!$C$6)="Yes",'Option 1 - Cashflow'!AB4*(1+'Input - General and Overview'!$C$7),'Option 1 - Cashflow'!$J$4)</f>
        <v>1.5986501856491653</v>
      </c>
      <c r="AD4" s="50">
        <f>IF(('Input - General and Overview'!$C$6)="Yes",'Option 1 - Cashflow'!AC4*(1+'Input - General and Overview'!$C$7),'Option 1 - Cashflow'!$J$4)</f>
        <v>1.6386164402903942</v>
      </c>
      <c r="AE4" s="50">
        <f>IF(('Input - General and Overview'!$C$6)="Yes",'Option 1 - Cashflow'!AD4*(1+'Input - General and Overview'!$C$7),'Option 1 - Cashflow'!$J$4)</f>
        <v>1.6795818512976539</v>
      </c>
      <c r="AF4" s="50">
        <f>IF(('Input - General and Overview'!$C$6)="Yes",'Option 1 - Cashflow'!AE4*(1+'Input - General and Overview'!$C$7),'Option 1 - Cashflow'!$J$4)</f>
        <v>1.721571397580095</v>
      </c>
      <c r="AG4" s="50">
        <f>IF(('Input - General and Overview'!$C$6)="Yes",'Option 1 - Cashflow'!AF4*(1+'Input - General and Overview'!$C$7),'Option 1 - Cashflow'!$J$4)</f>
        <v>1.7646106825195973</v>
      </c>
      <c r="AH4" s="50">
        <f>IF(('Input - General and Overview'!$C$6)="Yes",'Option 1 - Cashflow'!AG4*(1+'Input - General and Overview'!$C$7),'Option 1 - Cashflow'!$J$4)</f>
        <v>1.8087259495825871</v>
      </c>
      <c r="AI4" s="50">
        <f>IF(('Input - General and Overview'!$C$6)="Yes",'Option 1 - Cashflow'!AH4*(1+'Input - General and Overview'!$C$7),'Option 1 - Cashflow'!$J$4)</f>
        <v>1.8539440983221516</v>
      </c>
      <c r="AJ4" s="50">
        <f>IF(('Input - General and Overview'!$C$6)="Yes",'Option 1 - Cashflow'!AI4*(1+'Input - General and Overview'!$C$7),'Option 1 - Cashflow'!$J$4)</f>
        <v>1.9002927007802053</v>
      </c>
      <c r="AK4" s="50">
        <f>IF(('Input - General and Overview'!$C$6)="Yes",'Option 1 - Cashflow'!AJ4*(1+'Input - General and Overview'!$C$7),'Option 1 - Cashflow'!$J$4)</f>
        <v>1.9478000182997102</v>
      </c>
      <c r="AL4" s="50">
        <f>IF(('Input - General and Overview'!$C$6)="Yes",'Option 1 - Cashflow'!AK4*(1+'Input - General and Overview'!$C$7),'Option 1 - Cashflow'!$J$4)</f>
        <v>1.9964950187572028</v>
      </c>
      <c r="AM4" s="50">
        <f>IF(('Input - General and Overview'!$C$6)="Yes",'Option 1 - Cashflow'!AL4*(1+'Input - General and Overview'!$C$7),'Option 1 - Cashflow'!$J$4)</f>
        <v>2.0464073942261325</v>
      </c>
      <c r="AN4" s="50">
        <f>IF(('Input - General and Overview'!$C$6)="Yes",'Option 1 - Cashflow'!AM4*(1+'Input - General and Overview'!$C$7),'Option 1 - Cashflow'!$J$4)</f>
        <v>2.0975675790817858</v>
      </c>
    </row>
    <row r="5" spans="1:14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row>
    <row r="6" spans="1:140" ht="26.1">
      <c r="A6" s="222"/>
      <c r="B6" s="223" t="s">
        <v>300</v>
      </c>
      <c r="C6" s="222"/>
      <c r="D6" s="6"/>
      <c r="E6" s="6"/>
      <c r="F6" s="6"/>
      <c r="G6" s="6"/>
      <c r="H6" s="231"/>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140" outlineLevel="1"/>
    <row r="8" spans="1:140" outlineLevel="1">
      <c r="B8" s="9" t="str">
        <f>'Input - General and Overview'!B9</f>
        <v xml:space="preserve">Bulk tree purchase offer </v>
      </c>
      <c r="C8" s="292">
        <f>'Input - General and Overview'!C9</f>
        <v>0</v>
      </c>
    </row>
    <row r="9" spans="1:140" outlineLevel="1">
      <c r="B9" s="9" t="s">
        <v>301</v>
      </c>
      <c r="C9" s="327">
        <f>IF(C3=C4,'Input - General and Overview'!D21*C8,0)</f>
        <v>0</v>
      </c>
    </row>
    <row r="10" spans="1:140" outlineLevel="1">
      <c r="B10" s="9" t="s">
        <v>57</v>
      </c>
      <c r="C10" s="289">
        <f>'Inputs - List of Trees'!B111</f>
        <v>1</v>
      </c>
    </row>
    <row r="11" spans="1:140" outlineLevel="1"/>
    <row r="12" spans="1:140" outlineLevel="1">
      <c r="B12" s="220" t="str">
        <f>'Input - General and Overview'!B18</f>
        <v>Cost Categories</v>
      </c>
      <c r="C12" s="220" t="s">
        <v>302</v>
      </c>
      <c r="D12" s="220" t="s">
        <v>303</v>
      </c>
      <c r="E12" s="220" t="s">
        <v>303</v>
      </c>
      <c r="H12" s="232"/>
      <c r="I12" s="5"/>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row>
    <row r="13" spans="1:140" outlineLevel="1">
      <c r="B13" s="9" t="str">
        <f>'Input - General and Overview'!B20</f>
        <v>Pre-planting costs</v>
      </c>
      <c r="C13" s="272">
        <f>IF($C$3=$C$4,'Input - General and Overview'!D20,0)</f>
        <v>0</v>
      </c>
      <c r="D13" s="289">
        <f>'Input - General and Overview'!G20</f>
        <v>2025</v>
      </c>
      <c r="E13" s="289">
        <f>'Input - General and Overview'!H20</f>
        <v>2025</v>
      </c>
      <c r="H13" s="226">
        <f>SUM(J13:EJ13)</f>
        <v>0</v>
      </c>
      <c r="I13" s="5"/>
      <c r="J13" s="224">
        <f>-(IF(AND(J$3&gt;=$D13,J$3&lt;=$E13),$C13,0))*J$4</f>
        <v>0</v>
      </c>
      <c r="K13" s="224">
        <f>-(IF(AND(K$3&gt;=$D13,K$3&lt;=$E13),$C13,0))*K$4</f>
        <v>0</v>
      </c>
      <c r="L13" s="224">
        <f t="shared" ref="K13:AN18" si="2">-(IF(AND(L$3&gt;=$D13,L$3&lt;=$E13),$C13,0))*L$4</f>
        <v>0</v>
      </c>
      <c r="M13" s="224">
        <f t="shared" si="2"/>
        <v>0</v>
      </c>
      <c r="N13" s="224">
        <f t="shared" si="2"/>
        <v>0</v>
      </c>
      <c r="O13" s="224">
        <f t="shared" si="2"/>
        <v>0</v>
      </c>
      <c r="P13" s="224">
        <f t="shared" si="2"/>
        <v>0</v>
      </c>
      <c r="Q13" s="224">
        <f t="shared" si="2"/>
        <v>0</v>
      </c>
      <c r="R13" s="224">
        <f t="shared" si="2"/>
        <v>0</v>
      </c>
      <c r="S13" s="224">
        <f t="shared" si="2"/>
        <v>0</v>
      </c>
      <c r="T13" s="224">
        <f t="shared" si="2"/>
        <v>0</v>
      </c>
      <c r="U13" s="224">
        <f t="shared" si="2"/>
        <v>0</v>
      </c>
      <c r="V13" s="224">
        <f t="shared" si="2"/>
        <v>0</v>
      </c>
      <c r="W13" s="224">
        <f t="shared" si="2"/>
        <v>0</v>
      </c>
      <c r="X13" s="224">
        <f t="shared" si="2"/>
        <v>0</v>
      </c>
      <c r="Y13" s="224">
        <f t="shared" si="2"/>
        <v>0</v>
      </c>
      <c r="Z13" s="224">
        <f t="shared" si="2"/>
        <v>0</v>
      </c>
      <c r="AA13" s="224">
        <f t="shared" si="2"/>
        <v>0</v>
      </c>
      <c r="AB13" s="224">
        <f t="shared" si="2"/>
        <v>0</v>
      </c>
      <c r="AC13" s="224">
        <f t="shared" si="2"/>
        <v>0</v>
      </c>
      <c r="AD13" s="224">
        <f t="shared" si="2"/>
        <v>0</v>
      </c>
      <c r="AE13" s="224">
        <f t="shared" si="2"/>
        <v>0</v>
      </c>
      <c r="AF13" s="224">
        <f t="shared" si="2"/>
        <v>0</v>
      </c>
      <c r="AG13" s="224">
        <f t="shared" si="2"/>
        <v>0</v>
      </c>
      <c r="AH13" s="224">
        <f t="shared" si="2"/>
        <v>0</v>
      </c>
      <c r="AI13" s="224">
        <f t="shared" si="2"/>
        <v>0</v>
      </c>
      <c r="AJ13" s="224">
        <f t="shared" si="2"/>
        <v>0</v>
      </c>
      <c r="AK13" s="224">
        <f t="shared" si="2"/>
        <v>0</v>
      </c>
      <c r="AL13" s="224">
        <f t="shared" si="2"/>
        <v>0</v>
      </c>
      <c r="AM13" s="224">
        <f t="shared" si="2"/>
        <v>0</v>
      </c>
      <c r="AN13" s="224">
        <f t="shared" si="2"/>
        <v>0</v>
      </c>
    </row>
    <row r="14" spans="1:140" outlineLevel="1">
      <c r="B14" s="9" t="str">
        <f>'Input - General and Overview'!B21</f>
        <v>Tree purchasing costs</v>
      </c>
      <c r="C14" s="272">
        <f>IF($C$3=$C$4,'Input - General and Overview'!D21-C9,0)</f>
        <v>0</v>
      </c>
      <c r="D14" s="289">
        <f>'Input - General and Overview'!G21</f>
        <v>2025</v>
      </c>
      <c r="E14" s="289">
        <f>'Input - General and Overview'!H21</f>
        <v>2025</v>
      </c>
      <c r="H14" s="226">
        <f t="shared" ref="H14:H18" si="3">SUM(J14:EJ14)</f>
        <v>0</v>
      </c>
      <c r="I14" s="211"/>
      <c r="J14" s="224">
        <f>-(IF(AND(J$3&gt;=$D14,J$3&lt;=$E14),$C14,0))*J$4</f>
        <v>0</v>
      </c>
      <c r="K14" s="224">
        <f t="shared" si="2"/>
        <v>0</v>
      </c>
      <c r="L14" s="224">
        <f t="shared" si="2"/>
        <v>0</v>
      </c>
      <c r="M14" s="224">
        <f t="shared" si="2"/>
        <v>0</v>
      </c>
      <c r="N14" s="224">
        <f t="shared" si="2"/>
        <v>0</v>
      </c>
      <c r="O14" s="224">
        <f t="shared" si="2"/>
        <v>0</v>
      </c>
      <c r="P14" s="224">
        <f t="shared" si="2"/>
        <v>0</v>
      </c>
      <c r="Q14" s="224">
        <f t="shared" si="2"/>
        <v>0</v>
      </c>
      <c r="R14" s="224">
        <f t="shared" si="2"/>
        <v>0</v>
      </c>
      <c r="S14" s="224">
        <f t="shared" si="2"/>
        <v>0</v>
      </c>
      <c r="T14" s="224">
        <f t="shared" si="2"/>
        <v>0</v>
      </c>
      <c r="U14" s="224">
        <f t="shared" si="2"/>
        <v>0</v>
      </c>
      <c r="V14" s="224">
        <f t="shared" si="2"/>
        <v>0</v>
      </c>
      <c r="W14" s="224">
        <f t="shared" si="2"/>
        <v>0</v>
      </c>
      <c r="X14" s="224">
        <f t="shared" si="2"/>
        <v>0</v>
      </c>
      <c r="Y14" s="224">
        <f t="shared" si="2"/>
        <v>0</v>
      </c>
      <c r="Z14" s="224">
        <f t="shared" si="2"/>
        <v>0</v>
      </c>
      <c r="AA14" s="224">
        <f t="shared" si="2"/>
        <v>0</v>
      </c>
      <c r="AB14" s="224">
        <f t="shared" si="2"/>
        <v>0</v>
      </c>
      <c r="AC14" s="224">
        <f t="shared" si="2"/>
        <v>0</v>
      </c>
      <c r="AD14" s="224">
        <f t="shared" si="2"/>
        <v>0</v>
      </c>
      <c r="AE14" s="224">
        <f t="shared" si="2"/>
        <v>0</v>
      </c>
      <c r="AF14" s="224">
        <f t="shared" si="2"/>
        <v>0</v>
      </c>
      <c r="AG14" s="224">
        <f t="shared" si="2"/>
        <v>0</v>
      </c>
      <c r="AH14" s="224">
        <f t="shared" si="2"/>
        <v>0</v>
      </c>
      <c r="AI14" s="224">
        <f t="shared" si="2"/>
        <v>0</v>
      </c>
      <c r="AJ14" s="224">
        <f t="shared" si="2"/>
        <v>0</v>
      </c>
      <c r="AK14" s="224">
        <f t="shared" si="2"/>
        <v>0</v>
      </c>
      <c r="AL14" s="224">
        <f t="shared" si="2"/>
        <v>0</v>
      </c>
      <c r="AM14" s="224">
        <f t="shared" si="2"/>
        <v>0</v>
      </c>
      <c r="AN14" s="224">
        <f t="shared" si="2"/>
        <v>0</v>
      </c>
    </row>
    <row r="15" spans="1:140" outlineLevel="1">
      <c r="B15" s="9" t="str">
        <f>'Input - General and Overview'!B22</f>
        <v>Tree planting costs</v>
      </c>
      <c r="C15" s="272">
        <f>IF($C$3=$C$4,'Input - General and Overview'!D22,0)</f>
        <v>0</v>
      </c>
      <c r="D15" s="289">
        <f>'Input - General and Overview'!G22</f>
        <v>2026</v>
      </c>
      <c r="E15" s="289">
        <f>'Input - General and Overview'!H22</f>
        <v>2026</v>
      </c>
      <c r="H15" s="226">
        <f t="shared" si="3"/>
        <v>0</v>
      </c>
      <c r="I15" s="211"/>
      <c r="J15" s="224">
        <f>-(IF(AND(J$3&gt;=$D15,J$3&lt;=$E15),$C15,0))*J$4</f>
        <v>0</v>
      </c>
      <c r="K15" s="224">
        <f t="shared" si="2"/>
        <v>0</v>
      </c>
      <c r="L15" s="224">
        <f t="shared" si="2"/>
        <v>0</v>
      </c>
      <c r="M15" s="224">
        <f t="shared" si="2"/>
        <v>0</v>
      </c>
      <c r="N15" s="224">
        <f t="shared" si="2"/>
        <v>0</v>
      </c>
      <c r="O15" s="224">
        <f t="shared" si="2"/>
        <v>0</v>
      </c>
      <c r="P15" s="224">
        <f t="shared" si="2"/>
        <v>0</v>
      </c>
      <c r="Q15" s="224">
        <f t="shared" si="2"/>
        <v>0</v>
      </c>
      <c r="R15" s="224">
        <f t="shared" si="2"/>
        <v>0</v>
      </c>
      <c r="S15" s="224">
        <f t="shared" si="2"/>
        <v>0</v>
      </c>
      <c r="T15" s="224">
        <f t="shared" si="2"/>
        <v>0</v>
      </c>
      <c r="U15" s="224">
        <f t="shared" si="2"/>
        <v>0</v>
      </c>
      <c r="V15" s="224">
        <f t="shared" si="2"/>
        <v>0</v>
      </c>
      <c r="W15" s="224">
        <f t="shared" si="2"/>
        <v>0</v>
      </c>
      <c r="X15" s="224">
        <f t="shared" si="2"/>
        <v>0</v>
      </c>
      <c r="Y15" s="224">
        <f t="shared" si="2"/>
        <v>0</v>
      </c>
      <c r="Z15" s="224">
        <f t="shared" si="2"/>
        <v>0</v>
      </c>
      <c r="AA15" s="224">
        <f t="shared" si="2"/>
        <v>0</v>
      </c>
      <c r="AB15" s="224">
        <f t="shared" si="2"/>
        <v>0</v>
      </c>
      <c r="AC15" s="224">
        <f t="shared" si="2"/>
        <v>0</v>
      </c>
      <c r="AD15" s="224">
        <f t="shared" si="2"/>
        <v>0</v>
      </c>
      <c r="AE15" s="224">
        <f t="shared" si="2"/>
        <v>0</v>
      </c>
      <c r="AF15" s="224">
        <f t="shared" si="2"/>
        <v>0</v>
      </c>
      <c r="AG15" s="224">
        <f t="shared" si="2"/>
        <v>0</v>
      </c>
      <c r="AH15" s="224">
        <f t="shared" si="2"/>
        <v>0</v>
      </c>
      <c r="AI15" s="224">
        <f t="shared" si="2"/>
        <v>0</v>
      </c>
      <c r="AJ15" s="224">
        <f t="shared" si="2"/>
        <v>0</v>
      </c>
      <c r="AK15" s="224">
        <f t="shared" si="2"/>
        <v>0</v>
      </c>
      <c r="AL15" s="224">
        <f t="shared" si="2"/>
        <v>0</v>
      </c>
      <c r="AM15" s="224">
        <f t="shared" si="2"/>
        <v>0</v>
      </c>
      <c r="AN15" s="224">
        <f t="shared" si="2"/>
        <v>0</v>
      </c>
    </row>
    <row r="16" spans="1:140" outlineLevel="1">
      <c r="B16" s="9" t="str">
        <f>'Input - General and Overview'!B23</f>
        <v>Tree establishment and early maintenance costs</v>
      </c>
      <c r="C16" s="272">
        <f>IF($C$3=$C$4,'Input - General and Overview'!D23,0)</f>
        <v>0</v>
      </c>
      <c r="D16" s="289">
        <f>'Input - General and Overview'!G23</f>
        <v>2025</v>
      </c>
      <c r="E16" s="289">
        <f>'Input - General and Overview'!H23</f>
        <v>2035</v>
      </c>
      <c r="H16" s="226">
        <f>SUM(J16:EJ16)</f>
        <v>0</v>
      </c>
      <c r="I16" s="211"/>
      <c r="J16" s="224">
        <f t="shared" ref="J16:AN16" si="4">-(IF(AND(J$3&gt;=$D16,J$3&lt;=$E16),$C16/(1+$E$16-$D$16),0))</f>
        <v>0</v>
      </c>
      <c r="K16" s="224">
        <f t="shared" si="4"/>
        <v>0</v>
      </c>
      <c r="L16" s="224">
        <f t="shared" si="4"/>
        <v>0</v>
      </c>
      <c r="M16" s="224">
        <f t="shared" si="4"/>
        <v>0</v>
      </c>
      <c r="N16" s="224">
        <f t="shared" si="4"/>
        <v>0</v>
      </c>
      <c r="O16" s="224">
        <f t="shared" si="4"/>
        <v>0</v>
      </c>
      <c r="P16" s="224">
        <f t="shared" si="4"/>
        <v>0</v>
      </c>
      <c r="Q16" s="224">
        <f t="shared" si="4"/>
        <v>0</v>
      </c>
      <c r="R16" s="224">
        <f t="shared" si="4"/>
        <v>0</v>
      </c>
      <c r="S16" s="224">
        <f t="shared" si="4"/>
        <v>0</v>
      </c>
      <c r="T16" s="224">
        <f t="shared" si="4"/>
        <v>0</v>
      </c>
      <c r="U16" s="224">
        <f t="shared" si="4"/>
        <v>0</v>
      </c>
      <c r="V16" s="224">
        <f t="shared" si="4"/>
        <v>0</v>
      </c>
      <c r="W16" s="224">
        <f t="shared" si="4"/>
        <v>0</v>
      </c>
      <c r="X16" s="224">
        <f t="shared" si="4"/>
        <v>0</v>
      </c>
      <c r="Y16" s="224">
        <f t="shared" si="4"/>
        <v>0</v>
      </c>
      <c r="Z16" s="224">
        <f t="shared" si="4"/>
        <v>0</v>
      </c>
      <c r="AA16" s="224">
        <f t="shared" si="4"/>
        <v>0</v>
      </c>
      <c r="AB16" s="224">
        <f t="shared" si="4"/>
        <v>0</v>
      </c>
      <c r="AC16" s="224">
        <f t="shared" si="4"/>
        <v>0</v>
      </c>
      <c r="AD16" s="224">
        <f t="shared" si="4"/>
        <v>0</v>
      </c>
      <c r="AE16" s="224">
        <f t="shared" si="4"/>
        <v>0</v>
      </c>
      <c r="AF16" s="224">
        <f t="shared" si="4"/>
        <v>0</v>
      </c>
      <c r="AG16" s="224">
        <f t="shared" si="4"/>
        <v>0</v>
      </c>
      <c r="AH16" s="224">
        <f t="shared" si="4"/>
        <v>0</v>
      </c>
      <c r="AI16" s="224">
        <f t="shared" si="4"/>
        <v>0</v>
      </c>
      <c r="AJ16" s="224">
        <f t="shared" si="4"/>
        <v>0</v>
      </c>
      <c r="AK16" s="224">
        <f t="shared" si="4"/>
        <v>0</v>
      </c>
      <c r="AL16" s="224">
        <f t="shared" si="4"/>
        <v>0</v>
      </c>
      <c r="AM16" s="224">
        <f t="shared" si="4"/>
        <v>0</v>
      </c>
      <c r="AN16" s="224">
        <f t="shared" si="4"/>
        <v>0</v>
      </c>
    </row>
    <row r="17" spans="2:140" outlineLevel="1">
      <c r="B17" s="9" t="str">
        <f>'Input - General and Overview'!B24</f>
        <v>Long-term maintenance</v>
      </c>
      <c r="C17" s="272">
        <f>IF($C$3=$C$4,'Input - General and Overview'!D24,0)</f>
        <v>0</v>
      </c>
      <c r="D17" s="289">
        <f>'Input - General and Overview'!G24</f>
        <v>2028</v>
      </c>
      <c r="E17" s="289">
        <f>'Input - General and Overview'!H24</f>
        <v>2055</v>
      </c>
      <c r="H17" s="226">
        <f t="shared" si="3"/>
        <v>0</v>
      </c>
      <c r="I17" s="211"/>
      <c r="J17" s="224">
        <f t="shared" ref="J17:AN17" si="5">-(IF(AND(J$3&gt;=$D17,J$3&lt;=$E17),$C17/(1+$E$17-$D$17),0))</f>
        <v>0</v>
      </c>
      <c r="K17" s="224">
        <f t="shared" si="5"/>
        <v>0</v>
      </c>
      <c r="L17" s="224">
        <f t="shared" si="5"/>
        <v>0</v>
      </c>
      <c r="M17" s="224">
        <f t="shared" si="5"/>
        <v>0</v>
      </c>
      <c r="N17" s="224">
        <f t="shared" si="5"/>
        <v>0</v>
      </c>
      <c r="O17" s="224">
        <f t="shared" si="5"/>
        <v>0</v>
      </c>
      <c r="P17" s="224">
        <f t="shared" si="5"/>
        <v>0</v>
      </c>
      <c r="Q17" s="224">
        <f t="shared" si="5"/>
        <v>0</v>
      </c>
      <c r="R17" s="224">
        <f t="shared" si="5"/>
        <v>0</v>
      </c>
      <c r="S17" s="224">
        <f t="shared" si="5"/>
        <v>0</v>
      </c>
      <c r="T17" s="224">
        <f t="shared" si="5"/>
        <v>0</v>
      </c>
      <c r="U17" s="224">
        <f t="shared" si="5"/>
        <v>0</v>
      </c>
      <c r="V17" s="224">
        <f t="shared" si="5"/>
        <v>0</v>
      </c>
      <c r="W17" s="224">
        <f t="shared" si="5"/>
        <v>0</v>
      </c>
      <c r="X17" s="224">
        <f t="shared" si="5"/>
        <v>0</v>
      </c>
      <c r="Y17" s="224">
        <f t="shared" si="5"/>
        <v>0</v>
      </c>
      <c r="Z17" s="224">
        <f t="shared" si="5"/>
        <v>0</v>
      </c>
      <c r="AA17" s="224">
        <f t="shared" si="5"/>
        <v>0</v>
      </c>
      <c r="AB17" s="224">
        <f t="shared" si="5"/>
        <v>0</v>
      </c>
      <c r="AC17" s="224">
        <f t="shared" si="5"/>
        <v>0</v>
      </c>
      <c r="AD17" s="224">
        <f t="shared" si="5"/>
        <v>0</v>
      </c>
      <c r="AE17" s="224">
        <f t="shared" si="5"/>
        <v>0</v>
      </c>
      <c r="AF17" s="224">
        <f t="shared" si="5"/>
        <v>0</v>
      </c>
      <c r="AG17" s="224">
        <f t="shared" si="5"/>
        <v>0</v>
      </c>
      <c r="AH17" s="224">
        <f t="shared" si="5"/>
        <v>0</v>
      </c>
      <c r="AI17" s="224">
        <f t="shared" si="5"/>
        <v>0</v>
      </c>
      <c r="AJ17" s="224">
        <f t="shared" si="5"/>
        <v>0</v>
      </c>
      <c r="AK17" s="224">
        <f t="shared" si="5"/>
        <v>0</v>
      </c>
      <c r="AL17" s="224">
        <f t="shared" si="5"/>
        <v>0</v>
      </c>
      <c r="AM17" s="224">
        <f t="shared" si="5"/>
        <v>0</v>
      </c>
      <c r="AN17" s="224">
        <f t="shared" si="5"/>
        <v>0</v>
      </c>
    </row>
    <row r="18" spans="2:140" outlineLevel="1">
      <c r="B18" s="9" t="str">
        <f>'Input - General and Overview'!B25</f>
        <v>Monitoring, Reporting and Verification (MRV) costs</v>
      </c>
      <c r="C18" s="272">
        <f>IF($C$3=$C$4,'Input - General and Overview'!D25,0)</f>
        <v>0</v>
      </c>
      <c r="D18" s="289">
        <f>'Input - General and Overview'!G25</f>
        <v>2025</v>
      </c>
      <c r="E18" s="289">
        <f>'Input - General and Overview'!H25</f>
        <v>2030</v>
      </c>
      <c r="H18" s="226">
        <f t="shared" si="3"/>
        <v>0</v>
      </c>
      <c r="I18" s="211"/>
      <c r="J18" s="224">
        <f>-(IF(AND(J$3&gt;=$D18,J$3&lt;=$E18),$C18,0))*J$4</f>
        <v>0</v>
      </c>
      <c r="K18" s="224">
        <f t="shared" si="2"/>
        <v>0</v>
      </c>
      <c r="L18" s="224">
        <f t="shared" si="2"/>
        <v>0</v>
      </c>
      <c r="M18" s="224">
        <f t="shared" si="2"/>
        <v>0</v>
      </c>
      <c r="N18" s="224">
        <f t="shared" si="2"/>
        <v>0</v>
      </c>
      <c r="O18" s="224">
        <f t="shared" si="2"/>
        <v>0</v>
      </c>
      <c r="P18" s="224">
        <f t="shared" si="2"/>
        <v>0</v>
      </c>
      <c r="Q18" s="224">
        <f t="shared" si="2"/>
        <v>0</v>
      </c>
      <c r="R18" s="224">
        <f t="shared" si="2"/>
        <v>0</v>
      </c>
      <c r="S18" s="224">
        <f t="shared" si="2"/>
        <v>0</v>
      </c>
      <c r="T18" s="224">
        <f t="shared" si="2"/>
        <v>0</v>
      </c>
      <c r="U18" s="224">
        <f t="shared" si="2"/>
        <v>0</v>
      </c>
      <c r="V18" s="224">
        <f t="shared" si="2"/>
        <v>0</v>
      </c>
      <c r="W18" s="224">
        <f t="shared" si="2"/>
        <v>0</v>
      </c>
      <c r="X18" s="224">
        <f t="shared" si="2"/>
        <v>0</v>
      </c>
      <c r="Y18" s="224">
        <f t="shared" si="2"/>
        <v>0</v>
      </c>
      <c r="Z18" s="224">
        <f t="shared" si="2"/>
        <v>0</v>
      </c>
      <c r="AA18" s="224">
        <f t="shared" si="2"/>
        <v>0</v>
      </c>
      <c r="AB18" s="224">
        <f t="shared" si="2"/>
        <v>0</v>
      </c>
      <c r="AC18" s="224">
        <f t="shared" si="2"/>
        <v>0</v>
      </c>
      <c r="AD18" s="224">
        <f t="shared" si="2"/>
        <v>0</v>
      </c>
      <c r="AE18" s="224">
        <f t="shared" si="2"/>
        <v>0</v>
      </c>
      <c r="AF18" s="224">
        <f t="shared" si="2"/>
        <v>0</v>
      </c>
      <c r="AG18" s="224">
        <f t="shared" si="2"/>
        <v>0</v>
      </c>
      <c r="AH18" s="224">
        <f t="shared" si="2"/>
        <v>0</v>
      </c>
      <c r="AI18" s="224">
        <f t="shared" si="2"/>
        <v>0</v>
      </c>
      <c r="AJ18" s="224">
        <f t="shared" si="2"/>
        <v>0</v>
      </c>
      <c r="AK18" s="224">
        <f t="shared" si="2"/>
        <v>0</v>
      </c>
      <c r="AL18" s="224">
        <f t="shared" si="2"/>
        <v>0</v>
      </c>
      <c r="AM18" s="224">
        <f t="shared" si="2"/>
        <v>0</v>
      </c>
      <c r="AN18" s="224">
        <f t="shared" si="2"/>
        <v>0</v>
      </c>
    </row>
    <row r="19" spans="2:140">
      <c r="H19" s="233"/>
      <c r="I19" s="213"/>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row>
    <row r="20" spans="2:140" s="225" customFormat="1">
      <c r="B20" s="225" t="s">
        <v>249</v>
      </c>
      <c r="H20" s="234">
        <f>SUM(H13:H18)</f>
        <v>0</v>
      </c>
      <c r="I20" s="214"/>
      <c r="J20" s="393">
        <f t="shared" ref="J20:AN20" si="6">SUM(J13:J18)</f>
        <v>0</v>
      </c>
      <c r="K20" s="393">
        <f t="shared" si="6"/>
        <v>0</v>
      </c>
      <c r="L20" s="393">
        <f t="shared" si="6"/>
        <v>0</v>
      </c>
      <c r="M20" s="393">
        <f t="shared" si="6"/>
        <v>0</v>
      </c>
      <c r="N20" s="393">
        <f t="shared" si="6"/>
        <v>0</v>
      </c>
      <c r="O20" s="393">
        <f t="shared" si="6"/>
        <v>0</v>
      </c>
      <c r="P20" s="393">
        <f t="shared" si="6"/>
        <v>0</v>
      </c>
      <c r="Q20" s="393">
        <f t="shared" si="6"/>
        <v>0</v>
      </c>
      <c r="R20" s="393">
        <f t="shared" si="6"/>
        <v>0</v>
      </c>
      <c r="S20" s="393">
        <f t="shared" si="6"/>
        <v>0</v>
      </c>
      <c r="T20" s="393">
        <f t="shared" si="6"/>
        <v>0</v>
      </c>
      <c r="U20" s="393">
        <f t="shared" si="6"/>
        <v>0</v>
      </c>
      <c r="V20" s="393">
        <f t="shared" si="6"/>
        <v>0</v>
      </c>
      <c r="W20" s="393">
        <f t="shared" si="6"/>
        <v>0</v>
      </c>
      <c r="X20" s="393">
        <f t="shared" si="6"/>
        <v>0</v>
      </c>
      <c r="Y20" s="393">
        <f t="shared" si="6"/>
        <v>0</v>
      </c>
      <c r="Z20" s="393">
        <f t="shared" si="6"/>
        <v>0</v>
      </c>
      <c r="AA20" s="393">
        <f t="shared" si="6"/>
        <v>0</v>
      </c>
      <c r="AB20" s="393">
        <f t="shared" si="6"/>
        <v>0</v>
      </c>
      <c r="AC20" s="393">
        <f t="shared" si="6"/>
        <v>0</v>
      </c>
      <c r="AD20" s="393">
        <f t="shared" si="6"/>
        <v>0</v>
      </c>
      <c r="AE20" s="393">
        <f t="shared" si="6"/>
        <v>0</v>
      </c>
      <c r="AF20" s="393">
        <f t="shared" si="6"/>
        <v>0</v>
      </c>
      <c r="AG20" s="393">
        <f t="shared" si="6"/>
        <v>0</v>
      </c>
      <c r="AH20" s="393">
        <f t="shared" si="6"/>
        <v>0</v>
      </c>
      <c r="AI20" s="393">
        <f t="shared" si="6"/>
        <v>0</v>
      </c>
      <c r="AJ20" s="393">
        <f t="shared" si="6"/>
        <v>0</v>
      </c>
      <c r="AK20" s="393">
        <f t="shared" si="6"/>
        <v>0</v>
      </c>
      <c r="AL20" s="393">
        <f t="shared" si="6"/>
        <v>0</v>
      </c>
      <c r="AM20" s="393">
        <f t="shared" si="6"/>
        <v>0</v>
      </c>
      <c r="AN20" s="393">
        <f t="shared" si="6"/>
        <v>0</v>
      </c>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row>
    <row r="21" spans="2:140">
      <c r="H21" s="232"/>
      <c r="I21" s="5"/>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row>
    <row r="22" spans="2:140">
      <c r="H22" s="232"/>
    </row>
    <row r="65" outlineLevel="1"/>
    <row r="66" outlineLevel="1"/>
    <row r="67" outlineLevel="1"/>
    <row r="68" outlineLevel="1"/>
    <row r="69" outlineLevel="1"/>
    <row r="70" outlineLevel="1"/>
    <row r="71" outlineLevel="1"/>
    <row r="72" outlineLevel="1"/>
    <row r="73" outlineLevel="1"/>
    <row r="74" outlineLevel="1"/>
    <row r="75" outlineLevel="1"/>
    <row r="76" outlineLevel="1"/>
    <row r="77" outlineLevel="1"/>
    <row r="78" outlineLevel="1"/>
    <row r="79" outlineLevel="1"/>
    <row r="80" outlineLevel="1"/>
    <row r="81" outlineLevel="1"/>
    <row r="82" outlineLevel="1"/>
    <row r="83" outlineLevel="1"/>
    <row r="84" outlineLevel="1"/>
    <row r="85" outlineLevel="1"/>
    <row r="86" outlineLevel="1"/>
    <row r="87" outlineLevel="1"/>
    <row r="88" outlineLevel="1"/>
    <row r="89" outlineLevel="1"/>
    <row r="90" outlineLevel="1"/>
    <row r="91" outlineLevel="1"/>
    <row r="92" outlineLevel="1"/>
    <row r="93" outlineLevel="1"/>
    <row r="94" outlineLevel="1"/>
    <row r="95" outlineLevel="1"/>
    <row r="96" outlineLevel="1"/>
    <row r="97" outlineLevel="1"/>
    <row r="98" outlineLevel="1"/>
    <row r="99" outlineLevel="1"/>
    <row r="100" outlineLevel="1"/>
    <row r="101" outlineLevel="1"/>
    <row r="102" outlineLevel="1"/>
    <row r="103" outlineLevel="1"/>
    <row r="104" outlineLevel="1"/>
    <row r="105" outlineLevel="1"/>
    <row r="106" outlineLevel="1"/>
    <row r="107" outlineLevel="1"/>
    <row r="108" outlineLevel="1"/>
    <row r="109" outlineLevel="1"/>
    <row r="110" outlineLevel="1"/>
    <row r="111" outlineLevel="1"/>
    <row r="112" outlineLevel="1"/>
    <row r="113" outlineLevel="1"/>
    <row r="114" outlineLevel="1"/>
    <row r="115" outlineLevel="1"/>
    <row r="116" outlineLevel="1"/>
    <row r="117" outlineLevel="1"/>
    <row r="118" outlineLevel="1"/>
    <row r="119" outlineLevel="1"/>
    <row r="120" outlineLevel="1"/>
    <row r="121" outlineLevel="1"/>
    <row r="122" outlineLevel="1"/>
    <row r="123" outlineLevel="1"/>
    <row r="124" outlineLevel="1"/>
    <row r="125" outlineLevel="1"/>
    <row r="126" outlineLevel="1"/>
    <row r="127" outlineLevel="1"/>
    <row r="128" outlineLevel="1"/>
    <row r="129" outlineLevel="1"/>
    <row r="130" outlineLevel="1"/>
    <row r="131" outlineLevel="1"/>
    <row r="132" outlineLevel="1"/>
    <row r="133" outlineLevel="1"/>
    <row r="134" outlineLevel="1"/>
    <row r="135" outlineLevel="1"/>
    <row r="136" outlineLevel="1"/>
    <row r="137" outlineLevel="1"/>
    <row r="138" outlineLevel="1"/>
    <row r="139" outlineLevel="1"/>
    <row r="140" outlineLevel="1"/>
    <row r="141" outlineLevel="1"/>
    <row r="142" outlineLevel="1"/>
    <row r="143" outlineLevel="1"/>
    <row r="144" outlineLevel="1"/>
    <row r="145" outlineLevel="1"/>
    <row r="146" outlineLevel="1"/>
    <row r="147" outlineLevel="1"/>
    <row r="148" outlineLevel="1"/>
    <row r="149" outlineLevel="1"/>
    <row r="150" outlineLevel="1"/>
    <row r="151" outlineLevel="1"/>
    <row r="152" outlineLevel="1"/>
    <row r="153" outlineLevel="1"/>
    <row r="154" outlineLevel="1"/>
    <row r="155" outlineLevel="1"/>
    <row r="156" outlineLevel="1"/>
    <row r="157" outlineLevel="1"/>
    <row r="158" outlineLevel="1"/>
    <row r="159" outlineLevel="1"/>
    <row r="160" outlineLevel="1"/>
    <row r="161" outlineLevel="1"/>
    <row r="162" outlineLevel="1"/>
    <row r="163" outlineLevel="1"/>
    <row r="164" outlineLevel="1"/>
    <row r="165" outlineLevel="1"/>
    <row r="166" outlineLevel="1"/>
    <row r="167" outlineLevel="1"/>
    <row r="168" outlineLevel="1"/>
    <row r="169" outlineLevel="1"/>
    <row r="170" outlineLevel="1"/>
    <row r="171" outlineLevel="1"/>
    <row r="172" outlineLevel="1"/>
    <row r="173" outlineLevel="1"/>
    <row r="174" outlineLevel="1"/>
    <row r="175" outlineLevel="1"/>
    <row r="176" outlineLevel="1"/>
    <row r="177" outlineLevel="1"/>
    <row r="178" outlineLevel="1"/>
    <row r="179" outlineLevel="1"/>
    <row r="180" outlineLevel="1"/>
    <row r="181" outlineLevel="1"/>
    <row r="182" outlineLevel="1"/>
    <row r="183" outlineLevel="1"/>
    <row r="184" outlineLevel="1"/>
    <row r="185" outlineLevel="1"/>
    <row r="186" outlineLevel="1"/>
    <row r="187" outlineLevel="1"/>
    <row r="188" outlineLevel="1"/>
    <row r="189" outlineLevel="1"/>
    <row r="190" outlineLevel="1"/>
    <row r="191" outlineLevel="1"/>
    <row r="192" outlineLevel="1"/>
    <row r="193" outlineLevel="1"/>
    <row r="194" outlineLevel="1"/>
    <row r="195" outlineLevel="1"/>
    <row r="196" outlineLevel="1"/>
    <row r="197" outlineLevel="1"/>
    <row r="198" outlineLevel="1"/>
    <row r="199" outlineLevel="1"/>
    <row r="200" outlineLevel="1"/>
    <row r="201" outlineLevel="1"/>
    <row r="202" outlineLevel="1"/>
    <row r="203" outlineLevel="1"/>
    <row r="204" outlineLevel="1"/>
    <row r="205" outlineLevel="1"/>
    <row r="206" outlineLevel="1"/>
    <row r="207" outlineLevel="1"/>
    <row r="208" outlineLevel="1"/>
    <row r="209" outlineLevel="1"/>
    <row r="210" outlineLevel="1"/>
    <row r="211" outlineLevel="1"/>
    <row r="212" outlineLevel="1"/>
    <row r="213" outlineLevel="1"/>
    <row r="214" outlineLevel="1"/>
    <row r="215" outlineLevel="1"/>
    <row r="216" outlineLevel="1"/>
    <row r="217" outlineLevel="1"/>
    <row r="218" outlineLevel="1"/>
    <row r="219" outlineLevel="1"/>
    <row r="220" outlineLevel="1"/>
    <row r="221" outlineLevel="1"/>
    <row r="222" outlineLevel="1"/>
    <row r="223" outlineLevel="1"/>
    <row r="224" outlineLevel="1"/>
    <row r="225" outlineLevel="1"/>
    <row r="226" outlineLevel="1"/>
    <row r="227" outlineLevel="1"/>
    <row r="228" outlineLevel="1"/>
    <row r="229" outlineLevel="1"/>
    <row r="230" outlineLevel="1"/>
    <row r="231" outlineLevel="1"/>
    <row r="232" outlineLevel="1"/>
    <row r="233" outlineLevel="1"/>
    <row r="234" outlineLevel="1"/>
    <row r="235" outlineLevel="1"/>
    <row r="236" outlineLevel="1"/>
    <row r="237" outlineLevel="1"/>
    <row r="238" outlineLevel="1"/>
    <row r="239" outlineLevel="1"/>
    <row r="240" outlineLevel="1"/>
    <row r="241" outlineLevel="1"/>
    <row r="242" outlineLevel="1"/>
    <row r="243" outlineLevel="1"/>
    <row r="244" outlineLevel="1"/>
    <row r="245" outlineLevel="1"/>
    <row r="246" outlineLevel="1"/>
    <row r="247" outlineLevel="1"/>
    <row r="248" outlineLevel="1"/>
    <row r="249" outlineLevel="1"/>
    <row r="250" outlineLevel="1"/>
    <row r="251" outlineLevel="1"/>
    <row r="252" outlineLevel="1"/>
    <row r="253" outlineLevel="1"/>
    <row r="254" outlineLevel="1"/>
    <row r="255" outlineLevel="1"/>
    <row r="256" outlineLevel="1"/>
    <row r="257" outlineLevel="1"/>
    <row r="258" outlineLevel="1"/>
    <row r="259" outlineLevel="1"/>
    <row r="260" outlineLevel="1"/>
    <row r="261" outlineLevel="1"/>
    <row r="262" outlineLevel="1"/>
    <row r="263" outlineLevel="1"/>
    <row r="264" outlineLevel="1"/>
    <row r="265" outlineLevel="1"/>
    <row r="266" outlineLevel="1"/>
    <row r="267" outlineLevel="1"/>
    <row r="268" outlineLevel="1"/>
    <row r="269" outlineLevel="1"/>
    <row r="302" ht="14.45" customHeight="1"/>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12082-C765-46BE-8109-69E7CA89C2BE}">
  <sheetPr codeName="Sheet3">
    <tabColor theme="5" tint="0.39997558519241921"/>
  </sheetPr>
  <dimension ref="A1:FF379"/>
  <sheetViews>
    <sheetView showGridLines="0" zoomScale="80" zoomScaleNormal="80" workbookViewId="0"/>
  </sheetViews>
  <sheetFormatPr defaultColWidth="0" defaultRowHeight="14.45" outlineLevelRow="2"/>
  <cols>
    <col min="1" max="1" width="22.5703125" customWidth="1"/>
    <col min="2" max="2" width="76" customWidth="1"/>
    <col min="3" max="3" width="25.7109375" customWidth="1"/>
    <col min="4" max="4" width="16.42578125" customWidth="1"/>
    <col min="5" max="5" width="40.140625" bestFit="1" customWidth="1"/>
    <col min="6" max="6" width="7.42578125" customWidth="1"/>
    <col min="7" max="7" width="8.85546875" customWidth="1"/>
    <col min="8" max="8" width="16.42578125" bestFit="1" customWidth="1"/>
    <col min="9" max="9" width="2.85546875" customWidth="1"/>
    <col min="10" max="11" width="11.5703125" bestFit="1" customWidth="1"/>
    <col min="12" max="17" width="10.140625" bestFit="1" customWidth="1"/>
    <col min="18" max="18" width="9.85546875" bestFit="1" customWidth="1"/>
    <col min="19" max="19" width="10.140625" bestFit="1" customWidth="1"/>
    <col min="20" max="20" width="10.140625" customWidth="1"/>
    <col min="21" max="21" width="9.85546875" bestFit="1" customWidth="1"/>
    <col min="22" max="29" width="9.5703125" bestFit="1" customWidth="1"/>
    <col min="30" max="30" width="10.140625" bestFit="1" customWidth="1"/>
    <col min="31" max="31" width="9.5703125" bestFit="1" customWidth="1"/>
    <col min="32" max="40" width="10.140625" bestFit="1" customWidth="1"/>
    <col min="41" max="41" width="9.5703125" bestFit="1" customWidth="1"/>
    <col min="42" max="45" width="10.140625" bestFit="1" customWidth="1"/>
    <col min="46" max="50" width="10.140625" hidden="1" customWidth="1"/>
    <col min="51" max="51" width="9.5703125" hidden="1" customWidth="1"/>
    <col min="52" max="70" width="10.140625" hidden="1" customWidth="1"/>
    <col min="71" max="71" width="9.5703125" hidden="1" customWidth="1"/>
    <col min="72" max="80" width="10.140625" hidden="1" customWidth="1"/>
    <col min="81" max="81" width="9.5703125" hidden="1" customWidth="1"/>
    <col min="82" max="90" width="10.140625" hidden="1" customWidth="1"/>
    <col min="91" max="91" width="9.5703125" hidden="1" customWidth="1"/>
    <col min="92" max="100" width="10.140625" hidden="1" customWidth="1"/>
    <col min="101" max="101" width="9.5703125" hidden="1" customWidth="1"/>
    <col min="102" max="109" width="10.140625" hidden="1" customWidth="1"/>
    <col min="110" max="162" width="11" hidden="1" customWidth="1"/>
    <col min="163" max="16384" width="8.85546875" hidden="1"/>
  </cols>
  <sheetData>
    <row r="1" spans="1:140" s="106" customFormat="1" ht="25.5" thickBot="1">
      <c r="A1" s="67" t="s">
        <v>304</v>
      </c>
      <c r="B1" s="67"/>
      <c r="C1" s="62"/>
      <c r="D1" s="62"/>
      <c r="E1" s="62"/>
      <c r="F1" s="62"/>
      <c r="G1" s="62"/>
      <c r="H1" s="62"/>
      <c r="I1" s="62"/>
      <c r="J1" s="62"/>
      <c r="K1" s="62"/>
      <c r="L1" s="62"/>
      <c r="M1" s="62"/>
      <c r="N1" s="62"/>
      <c r="O1" s="62"/>
      <c r="P1" s="62"/>
      <c r="Q1" s="62"/>
      <c r="R1" s="62"/>
      <c r="S1" s="62"/>
      <c r="T1" s="62"/>
      <c r="U1" s="62"/>
      <c r="V1" s="62"/>
      <c r="W1" s="62"/>
      <c r="X1" s="62"/>
      <c r="Y1" s="62"/>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row>
    <row r="2" spans="1:140">
      <c r="A2" s="4" t="s">
        <v>296</v>
      </c>
      <c r="B2" s="4"/>
      <c r="C2" s="8"/>
      <c r="D2" s="4"/>
      <c r="E2" s="4"/>
      <c r="F2" s="4"/>
      <c r="G2" s="4"/>
      <c r="H2" s="32" t="s">
        <v>23</v>
      </c>
      <c r="I2" s="4"/>
      <c r="J2" s="43">
        <v>0</v>
      </c>
      <c r="K2" s="43">
        <f t="shared" ref="K2:AP2" si="0">J2+1</f>
        <v>1</v>
      </c>
      <c r="L2" s="43">
        <f t="shared" si="0"/>
        <v>2</v>
      </c>
      <c r="M2" s="43">
        <f t="shared" si="0"/>
        <v>3</v>
      </c>
      <c r="N2" s="43">
        <f t="shared" si="0"/>
        <v>4</v>
      </c>
      <c r="O2" s="43">
        <f t="shared" si="0"/>
        <v>5</v>
      </c>
      <c r="P2" s="43">
        <f t="shared" si="0"/>
        <v>6</v>
      </c>
      <c r="Q2" s="43">
        <f t="shared" si="0"/>
        <v>7</v>
      </c>
      <c r="R2" s="43">
        <f t="shared" si="0"/>
        <v>8</v>
      </c>
      <c r="S2" s="43">
        <f t="shared" si="0"/>
        <v>9</v>
      </c>
      <c r="T2" s="43">
        <f t="shared" si="0"/>
        <v>10</v>
      </c>
      <c r="U2" s="43">
        <f t="shared" si="0"/>
        <v>11</v>
      </c>
      <c r="V2" s="43">
        <f t="shared" si="0"/>
        <v>12</v>
      </c>
      <c r="W2" s="43">
        <f t="shared" si="0"/>
        <v>13</v>
      </c>
      <c r="X2" s="43">
        <f t="shared" si="0"/>
        <v>14</v>
      </c>
      <c r="Y2" s="43">
        <f t="shared" si="0"/>
        <v>15</v>
      </c>
      <c r="Z2" s="43">
        <f t="shared" si="0"/>
        <v>16</v>
      </c>
      <c r="AA2" s="43">
        <f t="shared" si="0"/>
        <v>17</v>
      </c>
      <c r="AB2" s="43">
        <f t="shared" si="0"/>
        <v>18</v>
      </c>
      <c r="AC2" s="43">
        <f t="shared" si="0"/>
        <v>19</v>
      </c>
      <c r="AD2" s="43">
        <f t="shared" si="0"/>
        <v>20</v>
      </c>
      <c r="AE2" s="43">
        <f t="shared" si="0"/>
        <v>21</v>
      </c>
      <c r="AF2" s="43">
        <f t="shared" si="0"/>
        <v>22</v>
      </c>
      <c r="AG2" s="43">
        <f t="shared" si="0"/>
        <v>23</v>
      </c>
      <c r="AH2" s="43">
        <f t="shared" si="0"/>
        <v>24</v>
      </c>
      <c r="AI2" s="43">
        <f t="shared" si="0"/>
        <v>25</v>
      </c>
      <c r="AJ2" s="43">
        <f t="shared" si="0"/>
        <v>26</v>
      </c>
      <c r="AK2" s="43">
        <f t="shared" si="0"/>
        <v>27</v>
      </c>
      <c r="AL2" s="43">
        <f t="shared" si="0"/>
        <v>28</v>
      </c>
      <c r="AM2" s="43">
        <f t="shared" si="0"/>
        <v>29</v>
      </c>
      <c r="AN2" s="43">
        <f t="shared" si="0"/>
        <v>30</v>
      </c>
      <c r="AO2" s="43">
        <f t="shared" si="0"/>
        <v>31</v>
      </c>
      <c r="AP2" s="43">
        <f t="shared" si="0"/>
        <v>32</v>
      </c>
      <c r="AQ2" s="43">
        <f>AP2+1</f>
        <v>33</v>
      </c>
      <c r="AR2" s="43">
        <f>AQ2+1</f>
        <v>34</v>
      </c>
      <c r="AS2" s="43">
        <f>AR2+1</f>
        <v>35</v>
      </c>
    </row>
    <row r="3" spans="1:140">
      <c r="A3" s="4"/>
      <c r="B3" s="9" t="s">
        <v>297</v>
      </c>
      <c r="C3" s="241" t="str">
        <f>'Input - General and Overview'!C12</f>
        <v>Option 1</v>
      </c>
      <c r="D3" s="4"/>
      <c r="E3" s="4"/>
      <c r="F3" s="4" t="s">
        <v>298</v>
      </c>
      <c r="G3" s="45">
        <f>'Input - General and Overview'!C5-'Input - General and Overview'!C4</f>
        <v>30</v>
      </c>
      <c r="H3" s="32">
        <f>'Input - General and Overview'!C7</f>
        <v>2.5000000000000001E-2</v>
      </c>
      <c r="I3" s="4"/>
      <c r="J3" s="46">
        <f>'Input - General and Overview'!C4</f>
        <v>2025</v>
      </c>
      <c r="K3" s="46">
        <f>IF(K2&lt;=$G$3,J3+1,0)</f>
        <v>2026</v>
      </c>
      <c r="L3" s="46">
        <f t="shared" ref="L3:AS3" si="1">IF(L2&lt;=$G$3,K3+1,0)</f>
        <v>2027</v>
      </c>
      <c r="M3" s="46">
        <f t="shared" si="1"/>
        <v>2028</v>
      </c>
      <c r="N3" s="46">
        <f t="shared" si="1"/>
        <v>2029</v>
      </c>
      <c r="O3" s="46">
        <f t="shared" si="1"/>
        <v>2030</v>
      </c>
      <c r="P3" s="46">
        <f t="shared" si="1"/>
        <v>2031</v>
      </c>
      <c r="Q3" s="46">
        <f t="shared" si="1"/>
        <v>2032</v>
      </c>
      <c r="R3" s="46">
        <f t="shared" si="1"/>
        <v>2033</v>
      </c>
      <c r="S3" s="46">
        <f t="shared" si="1"/>
        <v>2034</v>
      </c>
      <c r="T3" s="46">
        <f t="shared" si="1"/>
        <v>2035</v>
      </c>
      <c r="U3" s="46">
        <f t="shared" si="1"/>
        <v>2036</v>
      </c>
      <c r="V3" s="46">
        <f t="shared" si="1"/>
        <v>2037</v>
      </c>
      <c r="W3" s="46">
        <f t="shared" si="1"/>
        <v>2038</v>
      </c>
      <c r="X3" s="46">
        <f t="shared" si="1"/>
        <v>2039</v>
      </c>
      <c r="Y3" s="46">
        <f t="shared" si="1"/>
        <v>2040</v>
      </c>
      <c r="Z3" s="46">
        <f t="shared" si="1"/>
        <v>2041</v>
      </c>
      <c r="AA3" s="46">
        <f t="shared" si="1"/>
        <v>2042</v>
      </c>
      <c r="AB3" s="46">
        <f t="shared" si="1"/>
        <v>2043</v>
      </c>
      <c r="AC3" s="46">
        <f t="shared" si="1"/>
        <v>2044</v>
      </c>
      <c r="AD3" s="46">
        <f t="shared" si="1"/>
        <v>2045</v>
      </c>
      <c r="AE3" s="46">
        <f t="shared" si="1"/>
        <v>2046</v>
      </c>
      <c r="AF3" s="46">
        <f t="shared" si="1"/>
        <v>2047</v>
      </c>
      <c r="AG3" s="46">
        <f t="shared" si="1"/>
        <v>2048</v>
      </c>
      <c r="AH3" s="46">
        <f t="shared" si="1"/>
        <v>2049</v>
      </c>
      <c r="AI3" s="46">
        <f t="shared" si="1"/>
        <v>2050</v>
      </c>
      <c r="AJ3" s="46">
        <f t="shared" si="1"/>
        <v>2051</v>
      </c>
      <c r="AK3" s="46">
        <f t="shared" si="1"/>
        <v>2052</v>
      </c>
      <c r="AL3" s="46">
        <f t="shared" si="1"/>
        <v>2053</v>
      </c>
      <c r="AM3" s="46">
        <f t="shared" si="1"/>
        <v>2054</v>
      </c>
      <c r="AN3" s="46">
        <f t="shared" si="1"/>
        <v>2055</v>
      </c>
      <c r="AO3" s="46">
        <f t="shared" si="1"/>
        <v>0</v>
      </c>
      <c r="AP3" s="46">
        <f t="shared" si="1"/>
        <v>0</v>
      </c>
      <c r="AQ3" s="46">
        <f t="shared" si="1"/>
        <v>0</v>
      </c>
      <c r="AR3" s="46">
        <f t="shared" si="1"/>
        <v>0</v>
      </c>
      <c r="AS3" s="46">
        <f t="shared" si="1"/>
        <v>0</v>
      </c>
    </row>
    <row r="4" spans="1:140">
      <c r="B4" s="9" t="s">
        <v>299</v>
      </c>
      <c r="C4" s="241" t="s">
        <v>60</v>
      </c>
      <c r="F4" t="s">
        <v>305</v>
      </c>
      <c r="H4" s="17"/>
      <c r="J4" s="50">
        <v>1</v>
      </c>
      <c r="K4" s="50">
        <f>IF(('Input - General and Overview'!$C$6)="Yes",'Option 2 - Cashflow'!J4*(1+'Input - General and Overview'!$C$7),'Option 2 - Cashflow'!$J$4)</f>
        <v>1.0249999999999999</v>
      </c>
      <c r="L4" s="50">
        <f>IF(('Input - General and Overview'!$C$6)="Yes",'Option 2 - Cashflow'!K4*(1+'Input - General and Overview'!$C$7),'Option 2 - Cashflow'!$J$4)</f>
        <v>1.0506249999999999</v>
      </c>
      <c r="M4" s="50">
        <f>IF(('Input - General and Overview'!$C$6)="Yes",'Option 2 - Cashflow'!L4*(1+'Input - General and Overview'!$C$7),'Option 2 - Cashflow'!$J$4)</f>
        <v>1.0768906249999999</v>
      </c>
      <c r="N4" s="50">
        <f>IF(('Input - General and Overview'!$C$6)="Yes",'Option 2 - Cashflow'!M4*(1+'Input - General and Overview'!$C$7),'Option 2 - Cashflow'!$J$4)</f>
        <v>1.1038128906249998</v>
      </c>
      <c r="O4" s="50">
        <f>IF(('Input - General and Overview'!$C$6)="Yes",'Option 2 - Cashflow'!N4*(1+'Input - General and Overview'!$C$7),'Option 2 - Cashflow'!$J$4)</f>
        <v>1.1314082128906247</v>
      </c>
      <c r="P4" s="50">
        <f>IF(('Input - General and Overview'!$C$6)="Yes",'Option 2 - Cashflow'!O4*(1+'Input - General and Overview'!$C$7),'Option 2 - Cashflow'!$J$4)</f>
        <v>1.1596934182128902</v>
      </c>
      <c r="Q4" s="50">
        <f>IF(('Input - General and Overview'!$C$6)="Yes",'Option 2 - Cashflow'!P4*(1+'Input - General and Overview'!$C$7),'Option 2 - Cashflow'!$J$4)</f>
        <v>1.1886857536682123</v>
      </c>
      <c r="R4" s="50">
        <f>IF(('Input - General and Overview'!$C$6)="Yes",'Option 2 - Cashflow'!Q4*(1+'Input - General and Overview'!$C$7),'Option 2 - Cashflow'!$J$4)</f>
        <v>1.2184028975099175</v>
      </c>
      <c r="S4" s="50">
        <f>IF(('Input - General and Overview'!$C$6)="Yes",'Option 2 - Cashflow'!R4*(1+'Input - General and Overview'!$C$7),'Option 2 - Cashflow'!$J$4)</f>
        <v>1.2488629699476652</v>
      </c>
      <c r="T4" s="50">
        <f>IF(('Input - General and Overview'!$C$6)="Yes",'Option 2 - Cashflow'!S4*(1+'Input - General and Overview'!$C$7),'Option 2 - Cashflow'!$J$4)</f>
        <v>1.2800845441963566</v>
      </c>
      <c r="U4" s="50">
        <f>IF(('Input - General and Overview'!$C$6)="Yes",'Option 2 - Cashflow'!T4*(1+'Input - General and Overview'!$C$7),'Option 2 - Cashflow'!$J$4)</f>
        <v>1.3120866578012655</v>
      </c>
      <c r="V4" s="50">
        <f>IF(('Input - General and Overview'!$C$6)="Yes",'Option 2 - Cashflow'!U4*(1+'Input - General and Overview'!$C$7),'Option 2 - Cashflow'!$J$4)</f>
        <v>1.3448888242462971</v>
      </c>
      <c r="W4" s="50">
        <f>IF(('Input - General and Overview'!$C$6)="Yes",'Option 2 - Cashflow'!V4*(1+'Input - General and Overview'!$C$7),'Option 2 - Cashflow'!$J$4)</f>
        <v>1.3785110448524545</v>
      </c>
      <c r="X4" s="50">
        <f>IF(('Input - General and Overview'!$C$6)="Yes",'Option 2 - Cashflow'!W4*(1+'Input - General and Overview'!$C$7),'Option 2 - Cashflow'!$J$4)</f>
        <v>1.4129738209737657</v>
      </c>
      <c r="Y4" s="50">
        <f>IF(('Input - General and Overview'!$C$6)="Yes",'Option 2 - Cashflow'!X4*(1+'Input - General and Overview'!$C$7),'Option 2 - Cashflow'!$J$4)</f>
        <v>1.4482981664981096</v>
      </c>
      <c r="Z4" s="50">
        <f>IF(('Input - General and Overview'!$C$6)="Yes",'Option 2 - Cashflow'!Y4*(1+'Input - General and Overview'!$C$7),'Option 2 - Cashflow'!$J$4)</f>
        <v>1.4845056206605622</v>
      </c>
      <c r="AA4" s="50">
        <f>IF(('Input - General and Overview'!$C$6)="Yes",'Option 2 - Cashflow'!Z4*(1+'Input - General and Overview'!$C$7),'Option 2 - Cashflow'!$J$4)</f>
        <v>1.5216182611770761</v>
      </c>
      <c r="AB4" s="50">
        <f>IF(('Input - General and Overview'!$C$6)="Yes",'Option 2 - Cashflow'!AA4*(1+'Input - General and Overview'!$C$7),'Option 2 - Cashflow'!$J$4)</f>
        <v>1.5596587177065029</v>
      </c>
      <c r="AC4" s="50">
        <f>IF(('Input - General and Overview'!$C$6)="Yes",'Option 2 - Cashflow'!AB4*(1+'Input - General and Overview'!$C$7),'Option 2 - Cashflow'!$J$4)</f>
        <v>1.5986501856491653</v>
      </c>
      <c r="AD4" s="50">
        <f>IF(('Input - General and Overview'!$C$6)="Yes",'Option 2 - Cashflow'!AC4*(1+'Input - General and Overview'!$C$7),'Option 2 - Cashflow'!$J$4)</f>
        <v>1.6386164402903942</v>
      </c>
      <c r="AE4" s="50">
        <f>IF(('Input - General and Overview'!$C$6)="Yes",'Option 2 - Cashflow'!AD4*(1+'Input - General and Overview'!$C$7),'Option 2 - Cashflow'!$J$4)</f>
        <v>1.6795818512976539</v>
      </c>
      <c r="AF4" s="50">
        <f>IF(('Input - General and Overview'!$C$6)="Yes",'Option 2 - Cashflow'!AE4*(1+'Input - General and Overview'!$C$7),'Option 2 - Cashflow'!$J$4)</f>
        <v>1.721571397580095</v>
      </c>
      <c r="AG4" s="50">
        <f>IF(('Input - General and Overview'!$C$6)="Yes",'Option 2 - Cashflow'!AF4*(1+'Input - General and Overview'!$C$7),'Option 2 - Cashflow'!$J$4)</f>
        <v>1.7646106825195973</v>
      </c>
      <c r="AH4" s="50">
        <f>IF(('Input - General and Overview'!$C$6)="Yes",'Option 2 - Cashflow'!AG4*(1+'Input - General and Overview'!$C$7),'Option 2 - Cashflow'!$J$4)</f>
        <v>1.8087259495825871</v>
      </c>
      <c r="AI4" s="50">
        <f>IF(('Input - General and Overview'!$C$6)="Yes",'Option 2 - Cashflow'!AH4*(1+'Input - General and Overview'!$C$7),'Option 2 - Cashflow'!$J$4)</f>
        <v>1.8539440983221516</v>
      </c>
      <c r="AJ4" s="50">
        <f>IF(('Input - General and Overview'!$C$6)="Yes",'Option 2 - Cashflow'!AI4*(1+'Input - General and Overview'!$C$7),'Option 2 - Cashflow'!$J$4)</f>
        <v>1.9002927007802053</v>
      </c>
      <c r="AK4" s="50">
        <f>IF(('Input - General and Overview'!$C$6)="Yes",'Option 2 - Cashflow'!AJ4*(1+'Input - General and Overview'!$C$7),'Option 2 - Cashflow'!$J$4)</f>
        <v>1.9478000182997102</v>
      </c>
      <c r="AL4" s="50">
        <f>IF(('Input - General and Overview'!$C$6)="Yes",'Option 2 - Cashflow'!AK4*(1+'Input - General and Overview'!$C$7),'Option 2 - Cashflow'!$J$4)</f>
        <v>1.9964950187572028</v>
      </c>
      <c r="AM4" s="50">
        <f>IF(('Input - General and Overview'!$C$6)="Yes",'Option 2 - Cashflow'!AL4*(1+'Input - General and Overview'!$C$7),'Option 2 - Cashflow'!$J$4)</f>
        <v>2.0464073942261325</v>
      </c>
      <c r="AN4" s="50">
        <f>IF(('Input - General and Overview'!$C$6)="Yes",'Option 2 - Cashflow'!AM4*(1+'Input - General and Overview'!$C$7),'Option 2 - Cashflow'!$J$4)</f>
        <v>2.0975675790817858</v>
      </c>
      <c r="AO4" s="50">
        <f>IF(('Input - General and Overview'!$C$6)="Yes",'Option 2 - Cashflow'!AN4*(1+'Input - General and Overview'!$C$7),'Option 2 - Cashflow'!$J$4)</f>
        <v>2.1500067685588302</v>
      </c>
      <c r="AP4" s="50">
        <f>IF(('Input - General and Overview'!$C$6)="Yes",'Option 2 - Cashflow'!AO4*(1+'Input - General and Overview'!$C$7),'Option 2 - Cashflow'!$J$4)</f>
        <v>2.2037569377728006</v>
      </c>
      <c r="AQ4" s="50">
        <f>IF(('Input - General and Overview'!$C$6)="Yes",'Option 2 - Cashflow'!AP4*(1+'Input - General and Overview'!$C$7),'Option 2 - Cashflow'!$J$4)</f>
        <v>2.2588508612171205</v>
      </c>
      <c r="AR4" s="50">
        <f>IF(('Input - General and Overview'!$C$6)="Yes",'Option 2 - Cashflow'!AQ4*(1+'Input - General and Overview'!$C$7),'Option 2 - Cashflow'!$J$4)</f>
        <v>2.3153221327475482</v>
      </c>
      <c r="AS4" s="50">
        <f>IF(('Input - General and Overview'!$C$6)="Yes",'Option 2 - Cashflow'!AR4*(1+'Input - General and Overview'!$C$7),'Option 2 - Cashflow'!$J$4)</f>
        <v>2.3732051860662366</v>
      </c>
    </row>
    <row r="5" spans="1:140">
      <c r="H5" s="17"/>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row>
    <row r="6" spans="1:140" ht="23.45">
      <c r="A6" s="13"/>
      <c r="B6" s="99" t="s">
        <v>22</v>
      </c>
      <c r="C6" s="13"/>
      <c r="D6" s="13"/>
      <c r="E6" s="13"/>
      <c r="F6" s="13"/>
      <c r="G6" s="13"/>
      <c r="H6" s="100"/>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row>
    <row r="7" spans="1:140">
      <c r="A7" s="3"/>
      <c r="B7" s="3"/>
      <c r="C7" s="3"/>
      <c r="D7" s="3"/>
      <c r="E7" s="3"/>
      <c r="H7" s="17"/>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row>
    <row r="8" spans="1:140" s="294" customFormat="1" ht="23.45">
      <c r="A8" s="4"/>
      <c r="B8" s="293" t="str">
        <f>'Input - Option 2 Detailed Input'!C5</f>
        <v>1. Pre-planting costs</v>
      </c>
      <c r="C8" s="4"/>
      <c r="D8" s="4"/>
      <c r="E8" s="4"/>
      <c r="F8" s="4"/>
      <c r="G8" s="4"/>
      <c r="H8" s="32"/>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row>
    <row r="9" spans="1:140" hidden="1" outlineLevel="1">
      <c r="C9" s="25" t="str">
        <f>'Input - Option 2 Detailed Input'!D10</f>
        <v>Costs start in</v>
      </c>
      <c r="D9" s="25" t="str">
        <f>'Input - Option 2 Detailed Input'!E10</f>
        <v>Costs end in</v>
      </c>
      <c r="H9" s="17"/>
    </row>
    <row r="10" spans="1:140" hidden="1" outlineLevel="1">
      <c r="A10" s="3"/>
      <c r="B10" s="47" t="str">
        <f>'Input - Option 2 Detailed Input'!C11</f>
        <v>Costs occuring in Year</v>
      </c>
      <c r="C10" s="241" t="str">
        <f>IF(C3=C4,'Input - Option 2 Detailed Input'!D11,"-")</f>
        <v>-</v>
      </c>
      <c r="D10" s="241" t="str">
        <f>IF(C3=C4,'Input - Option 2 Detailed Input'!E11,"-")</f>
        <v>-</v>
      </c>
      <c r="H10" s="33"/>
      <c r="I10" s="5"/>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row>
    <row r="11" spans="1:140" hidden="1" outlineLevel="1">
      <c r="A11" s="3"/>
      <c r="H11" s="33"/>
      <c r="I11" s="5"/>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row>
    <row r="12" spans="1:140" hidden="1" outlineLevel="1">
      <c r="A12" s="3"/>
      <c r="B12" s="49" t="str">
        <f>'Input - Option 2 Detailed Input'!C13</f>
        <v>Pre-planting Costs</v>
      </c>
      <c r="C12" s="40" t="str">
        <f>'Input - Option 2 Detailed Input'!I13</f>
        <v>Total Costs excl. inflation</v>
      </c>
      <c r="H12" s="33"/>
      <c r="I12" s="5"/>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row>
    <row r="13" spans="1:140" hidden="1" outlineLevel="1">
      <c r="A13" s="459" t="str">
        <f>'Input - Option 2 Detailed Input'!B14</f>
        <v>Feasibility Assessments</v>
      </c>
      <c r="B13" s="20" t="str">
        <f>'Input - Option 2 Detailed Input'!C14</f>
        <v>Desktop Checks: Utility Stags, Soils</v>
      </c>
      <c r="C13" s="272">
        <f>'Input - Option 2 Detailed Input'!I14</f>
        <v>0</v>
      </c>
      <c r="H13" s="343">
        <f>SUM(J13:EJ13)</f>
        <v>0</v>
      </c>
      <c r="I13" s="211"/>
      <c r="J13" s="224">
        <f>-IF(AND(J$3&gt;=$C$10,J$3&lt;=$D$10),($C13*J$4),)</f>
        <v>0</v>
      </c>
      <c r="K13" s="224">
        <f t="shared" ref="K13:AS20" si="2">-IF(AND(K$3&gt;=$C$10,K$3&lt;=$D$10),($C13*K$4),)</f>
        <v>0</v>
      </c>
      <c r="L13" s="224">
        <f t="shared" si="2"/>
        <v>0</v>
      </c>
      <c r="M13" s="224">
        <f t="shared" si="2"/>
        <v>0</v>
      </c>
      <c r="N13" s="224">
        <f t="shared" si="2"/>
        <v>0</v>
      </c>
      <c r="O13" s="224">
        <f t="shared" si="2"/>
        <v>0</v>
      </c>
      <c r="P13" s="224">
        <f t="shared" si="2"/>
        <v>0</v>
      </c>
      <c r="Q13" s="224">
        <f t="shared" si="2"/>
        <v>0</v>
      </c>
      <c r="R13" s="224">
        <f t="shared" si="2"/>
        <v>0</v>
      </c>
      <c r="S13" s="224">
        <f t="shared" si="2"/>
        <v>0</v>
      </c>
      <c r="T13" s="224">
        <f t="shared" si="2"/>
        <v>0</v>
      </c>
      <c r="U13" s="224">
        <f t="shared" si="2"/>
        <v>0</v>
      </c>
      <c r="V13" s="224">
        <f t="shared" si="2"/>
        <v>0</v>
      </c>
      <c r="W13" s="224">
        <f t="shared" si="2"/>
        <v>0</v>
      </c>
      <c r="X13" s="224">
        <f t="shared" si="2"/>
        <v>0</v>
      </c>
      <c r="Y13" s="224">
        <f t="shared" si="2"/>
        <v>0</v>
      </c>
      <c r="Z13" s="224">
        <f t="shared" si="2"/>
        <v>0</v>
      </c>
      <c r="AA13" s="224">
        <f t="shared" si="2"/>
        <v>0</v>
      </c>
      <c r="AB13" s="224">
        <f t="shared" si="2"/>
        <v>0</v>
      </c>
      <c r="AC13" s="224">
        <f t="shared" si="2"/>
        <v>0</v>
      </c>
      <c r="AD13" s="224">
        <f t="shared" si="2"/>
        <v>0</v>
      </c>
      <c r="AE13" s="224">
        <f t="shared" si="2"/>
        <v>0</v>
      </c>
      <c r="AF13" s="224">
        <f t="shared" si="2"/>
        <v>0</v>
      </c>
      <c r="AG13" s="224">
        <f t="shared" si="2"/>
        <v>0</v>
      </c>
      <c r="AH13" s="224">
        <f t="shared" si="2"/>
        <v>0</v>
      </c>
      <c r="AI13" s="224">
        <f t="shared" si="2"/>
        <v>0</v>
      </c>
      <c r="AJ13" s="224">
        <f t="shared" si="2"/>
        <v>0</v>
      </c>
      <c r="AK13" s="224">
        <f t="shared" si="2"/>
        <v>0</v>
      </c>
      <c r="AL13" s="224">
        <f t="shared" si="2"/>
        <v>0</v>
      </c>
      <c r="AM13" s="224">
        <f t="shared" si="2"/>
        <v>0</v>
      </c>
      <c r="AN13" s="224">
        <f t="shared" si="2"/>
        <v>0</v>
      </c>
      <c r="AO13" s="224">
        <f t="shared" si="2"/>
        <v>0</v>
      </c>
      <c r="AP13" s="224">
        <f t="shared" si="2"/>
        <v>0</v>
      </c>
      <c r="AQ13" s="224">
        <f t="shared" si="2"/>
        <v>0</v>
      </c>
      <c r="AR13" s="224">
        <f t="shared" si="2"/>
        <v>0</v>
      </c>
      <c r="AS13" s="224">
        <f t="shared" si="2"/>
        <v>0</v>
      </c>
    </row>
    <row r="14" spans="1:140" hidden="1" outlineLevel="1">
      <c r="A14" s="459"/>
      <c r="B14" s="20" t="str">
        <f>'Input - Option 2 Detailed Input'!C15</f>
        <v>Visual Survey: Overhead Lines, Street Signs, Overhead Lighting, Shading Competition</v>
      </c>
      <c r="C14" s="272">
        <f>'Input - Option 2 Detailed Input'!I15</f>
        <v>0</v>
      </c>
      <c r="H14" s="343">
        <f t="shared" ref="H14:H27" si="3">SUM(J14:EJ14)</f>
        <v>0</v>
      </c>
      <c r="I14" s="211"/>
      <c r="J14" s="224">
        <f t="shared" ref="J14:Y27" si="4">-IF(AND(J$3&gt;=$C$10,J$3&lt;=$D$10),($C14*J$4),)</f>
        <v>0</v>
      </c>
      <c r="K14" s="224">
        <f t="shared" si="4"/>
        <v>0</v>
      </c>
      <c r="L14" s="224">
        <f t="shared" si="4"/>
        <v>0</v>
      </c>
      <c r="M14" s="224">
        <f t="shared" si="4"/>
        <v>0</v>
      </c>
      <c r="N14" s="224">
        <f t="shared" si="4"/>
        <v>0</v>
      </c>
      <c r="O14" s="224">
        <f t="shared" si="4"/>
        <v>0</v>
      </c>
      <c r="P14" s="224">
        <f t="shared" si="4"/>
        <v>0</v>
      </c>
      <c r="Q14" s="224">
        <f t="shared" si="4"/>
        <v>0</v>
      </c>
      <c r="R14" s="224">
        <f t="shared" si="4"/>
        <v>0</v>
      </c>
      <c r="S14" s="224">
        <f t="shared" si="4"/>
        <v>0</v>
      </c>
      <c r="T14" s="224">
        <f t="shared" si="4"/>
        <v>0</v>
      </c>
      <c r="U14" s="224">
        <f t="shared" si="4"/>
        <v>0</v>
      </c>
      <c r="V14" s="224">
        <f t="shared" si="4"/>
        <v>0</v>
      </c>
      <c r="W14" s="224">
        <f t="shared" si="4"/>
        <v>0</v>
      </c>
      <c r="X14" s="224">
        <f t="shared" si="4"/>
        <v>0</v>
      </c>
      <c r="Y14" s="224">
        <f t="shared" si="4"/>
        <v>0</v>
      </c>
      <c r="Z14" s="224">
        <f t="shared" si="2"/>
        <v>0</v>
      </c>
      <c r="AA14" s="224">
        <f t="shared" si="2"/>
        <v>0</v>
      </c>
      <c r="AB14" s="224">
        <f t="shared" si="2"/>
        <v>0</v>
      </c>
      <c r="AC14" s="224">
        <f t="shared" si="2"/>
        <v>0</v>
      </c>
      <c r="AD14" s="224">
        <f t="shared" si="2"/>
        <v>0</v>
      </c>
      <c r="AE14" s="224">
        <f t="shared" si="2"/>
        <v>0</v>
      </c>
      <c r="AF14" s="224">
        <f t="shared" si="2"/>
        <v>0</v>
      </c>
      <c r="AG14" s="224">
        <f t="shared" si="2"/>
        <v>0</v>
      </c>
      <c r="AH14" s="224">
        <f t="shared" si="2"/>
        <v>0</v>
      </c>
      <c r="AI14" s="224">
        <f t="shared" si="2"/>
        <v>0</v>
      </c>
      <c r="AJ14" s="224">
        <f t="shared" si="2"/>
        <v>0</v>
      </c>
      <c r="AK14" s="224">
        <f t="shared" si="2"/>
        <v>0</v>
      </c>
      <c r="AL14" s="224">
        <f t="shared" si="2"/>
        <v>0</v>
      </c>
      <c r="AM14" s="224">
        <f t="shared" si="2"/>
        <v>0</v>
      </c>
      <c r="AN14" s="224">
        <f t="shared" si="2"/>
        <v>0</v>
      </c>
      <c r="AO14" s="224">
        <f t="shared" si="2"/>
        <v>0</v>
      </c>
      <c r="AP14" s="224">
        <f t="shared" si="2"/>
        <v>0</v>
      </c>
      <c r="AQ14" s="224">
        <f t="shared" si="2"/>
        <v>0</v>
      </c>
      <c r="AR14" s="224">
        <f t="shared" si="2"/>
        <v>0</v>
      </c>
      <c r="AS14" s="224">
        <f t="shared" si="2"/>
        <v>0</v>
      </c>
    </row>
    <row r="15" spans="1:140" hidden="1" outlineLevel="1">
      <c r="A15" s="459"/>
      <c r="B15" s="20" t="str">
        <f>'Input - Option 2 Detailed Input'!C16</f>
        <v>Cable Avoidance Tool (CAT) Scan</v>
      </c>
      <c r="C15" s="272">
        <f>'Input - Option 2 Detailed Input'!I16</f>
        <v>0</v>
      </c>
      <c r="H15" s="343">
        <f t="shared" si="3"/>
        <v>0</v>
      </c>
      <c r="I15" s="211"/>
      <c r="J15" s="224">
        <f t="shared" si="4"/>
        <v>0</v>
      </c>
      <c r="K15" s="224">
        <f t="shared" si="2"/>
        <v>0</v>
      </c>
      <c r="L15" s="224">
        <f t="shared" si="2"/>
        <v>0</v>
      </c>
      <c r="M15" s="224">
        <f t="shared" si="2"/>
        <v>0</v>
      </c>
      <c r="N15" s="224">
        <f t="shared" si="2"/>
        <v>0</v>
      </c>
      <c r="O15" s="224">
        <f t="shared" si="2"/>
        <v>0</v>
      </c>
      <c r="P15" s="224">
        <f t="shared" si="2"/>
        <v>0</v>
      </c>
      <c r="Q15" s="224">
        <f t="shared" si="2"/>
        <v>0</v>
      </c>
      <c r="R15" s="224">
        <f t="shared" si="2"/>
        <v>0</v>
      </c>
      <c r="S15" s="224">
        <f t="shared" si="2"/>
        <v>0</v>
      </c>
      <c r="T15" s="224">
        <f t="shared" si="2"/>
        <v>0</v>
      </c>
      <c r="U15" s="224">
        <f t="shared" si="2"/>
        <v>0</v>
      </c>
      <c r="V15" s="224">
        <f t="shared" si="2"/>
        <v>0</v>
      </c>
      <c r="W15" s="224">
        <f t="shared" si="2"/>
        <v>0</v>
      </c>
      <c r="X15" s="224">
        <f t="shared" si="2"/>
        <v>0</v>
      </c>
      <c r="Y15" s="224">
        <f t="shared" si="2"/>
        <v>0</v>
      </c>
      <c r="Z15" s="224">
        <f t="shared" si="2"/>
        <v>0</v>
      </c>
      <c r="AA15" s="224">
        <f t="shared" si="2"/>
        <v>0</v>
      </c>
      <c r="AB15" s="224">
        <f t="shared" si="2"/>
        <v>0</v>
      </c>
      <c r="AC15" s="224">
        <f t="shared" si="2"/>
        <v>0</v>
      </c>
      <c r="AD15" s="224">
        <f t="shared" si="2"/>
        <v>0</v>
      </c>
      <c r="AE15" s="224">
        <f t="shared" si="2"/>
        <v>0</v>
      </c>
      <c r="AF15" s="224">
        <f t="shared" si="2"/>
        <v>0</v>
      </c>
      <c r="AG15" s="224">
        <f t="shared" si="2"/>
        <v>0</v>
      </c>
      <c r="AH15" s="224">
        <f t="shared" si="2"/>
        <v>0</v>
      </c>
      <c r="AI15" s="224">
        <f t="shared" si="2"/>
        <v>0</v>
      </c>
      <c r="AJ15" s="224">
        <f t="shared" si="2"/>
        <v>0</v>
      </c>
      <c r="AK15" s="224">
        <f t="shared" si="2"/>
        <v>0</v>
      </c>
      <c r="AL15" s="224">
        <f t="shared" si="2"/>
        <v>0</v>
      </c>
      <c r="AM15" s="224">
        <f t="shared" si="2"/>
        <v>0</v>
      </c>
      <c r="AN15" s="224">
        <f t="shared" si="2"/>
        <v>0</v>
      </c>
      <c r="AO15" s="224">
        <f t="shared" si="2"/>
        <v>0</v>
      </c>
      <c r="AP15" s="224">
        <f t="shared" si="2"/>
        <v>0</v>
      </c>
      <c r="AQ15" s="224">
        <f t="shared" si="2"/>
        <v>0</v>
      </c>
      <c r="AR15" s="224">
        <f t="shared" si="2"/>
        <v>0</v>
      </c>
      <c r="AS15" s="224">
        <f t="shared" si="2"/>
        <v>0</v>
      </c>
    </row>
    <row r="16" spans="1:140" hidden="1" outlineLevel="1">
      <c r="A16" s="459"/>
      <c r="B16" s="20" t="str">
        <f>'Input - Option 2 Detailed Input'!C17</f>
        <v>Trial Pit(s)</v>
      </c>
      <c r="C16" s="272">
        <f>'Input - Option 2 Detailed Input'!I17</f>
        <v>0</v>
      </c>
      <c r="H16" s="343">
        <f t="shared" si="3"/>
        <v>0</v>
      </c>
      <c r="I16" s="211"/>
      <c r="J16" s="224">
        <f t="shared" si="4"/>
        <v>0</v>
      </c>
      <c r="K16" s="224">
        <f t="shared" si="2"/>
        <v>0</v>
      </c>
      <c r="L16" s="224">
        <f t="shared" si="2"/>
        <v>0</v>
      </c>
      <c r="M16" s="224">
        <f t="shared" si="2"/>
        <v>0</v>
      </c>
      <c r="N16" s="224">
        <f t="shared" si="2"/>
        <v>0</v>
      </c>
      <c r="O16" s="224">
        <f t="shared" si="2"/>
        <v>0</v>
      </c>
      <c r="P16" s="224">
        <f t="shared" si="2"/>
        <v>0</v>
      </c>
      <c r="Q16" s="224">
        <f t="shared" si="2"/>
        <v>0</v>
      </c>
      <c r="R16" s="224">
        <f t="shared" si="2"/>
        <v>0</v>
      </c>
      <c r="S16" s="224">
        <f t="shared" si="2"/>
        <v>0</v>
      </c>
      <c r="T16" s="224">
        <f t="shared" si="2"/>
        <v>0</v>
      </c>
      <c r="U16" s="224">
        <f t="shared" si="2"/>
        <v>0</v>
      </c>
      <c r="V16" s="224">
        <f t="shared" si="2"/>
        <v>0</v>
      </c>
      <c r="W16" s="224">
        <f t="shared" si="2"/>
        <v>0</v>
      </c>
      <c r="X16" s="224">
        <f t="shared" si="2"/>
        <v>0</v>
      </c>
      <c r="Y16" s="224">
        <f t="shared" si="2"/>
        <v>0</v>
      </c>
      <c r="Z16" s="224">
        <f t="shared" si="2"/>
        <v>0</v>
      </c>
      <c r="AA16" s="224">
        <f t="shared" si="2"/>
        <v>0</v>
      </c>
      <c r="AB16" s="224">
        <f t="shared" si="2"/>
        <v>0</v>
      </c>
      <c r="AC16" s="224">
        <f t="shared" si="2"/>
        <v>0</v>
      </c>
      <c r="AD16" s="224">
        <f t="shared" si="2"/>
        <v>0</v>
      </c>
      <c r="AE16" s="224">
        <f t="shared" si="2"/>
        <v>0</v>
      </c>
      <c r="AF16" s="224">
        <f t="shared" si="2"/>
        <v>0</v>
      </c>
      <c r="AG16" s="224">
        <f t="shared" si="2"/>
        <v>0</v>
      </c>
      <c r="AH16" s="224">
        <f t="shared" si="2"/>
        <v>0</v>
      </c>
      <c r="AI16" s="224">
        <f t="shared" si="2"/>
        <v>0</v>
      </c>
      <c r="AJ16" s="224">
        <f t="shared" si="2"/>
        <v>0</v>
      </c>
      <c r="AK16" s="224">
        <f t="shared" si="2"/>
        <v>0</v>
      </c>
      <c r="AL16" s="224">
        <f t="shared" si="2"/>
        <v>0</v>
      </c>
      <c r="AM16" s="224">
        <f t="shared" si="2"/>
        <v>0</v>
      </c>
      <c r="AN16" s="224">
        <f t="shared" si="2"/>
        <v>0</v>
      </c>
      <c r="AO16" s="224">
        <f t="shared" si="2"/>
        <v>0</v>
      </c>
      <c r="AP16" s="224">
        <f t="shared" si="2"/>
        <v>0</v>
      </c>
      <c r="AQ16" s="224">
        <f t="shared" si="2"/>
        <v>0</v>
      </c>
      <c r="AR16" s="224">
        <f t="shared" si="2"/>
        <v>0</v>
      </c>
      <c r="AS16" s="224">
        <f t="shared" si="2"/>
        <v>0</v>
      </c>
    </row>
    <row r="17" spans="1:45" hidden="1" outlineLevel="1">
      <c r="A17" s="459"/>
      <c r="B17" s="20" t="str">
        <f>'Input - Option 2 Detailed Input'!C18</f>
        <v>Nursery Visits</v>
      </c>
      <c r="C17" s="272">
        <f>'Input - Option 2 Detailed Input'!I18</f>
        <v>0</v>
      </c>
      <c r="H17" s="343">
        <f t="shared" si="3"/>
        <v>0</v>
      </c>
      <c r="I17" s="211"/>
      <c r="J17" s="224">
        <f t="shared" si="4"/>
        <v>0</v>
      </c>
      <c r="K17" s="224">
        <f t="shared" si="2"/>
        <v>0</v>
      </c>
      <c r="L17" s="224">
        <f t="shared" si="2"/>
        <v>0</v>
      </c>
      <c r="M17" s="224">
        <f t="shared" si="2"/>
        <v>0</v>
      </c>
      <c r="N17" s="224">
        <f t="shared" si="2"/>
        <v>0</v>
      </c>
      <c r="O17" s="224">
        <f t="shared" si="2"/>
        <v>0</v>
      </c>
      <c r="P17" s="224">
        <f t="shared" si="2"/>
        <v>0</v>
      </c>
      <c r="Q17" s="224">
        <f t="shared" si="2"/>
        <v>0</v>
      </c>
      <c r="R17" s="224">
        <f t="shared" si="2"/>
        <v>0</v>
      </c>
      <c r="S17" s="224">
        <f t="shared" si="2"/>
        <v>0</v>
      </c>
      <c r="T17" s="224">
        <f t="shared" si="2"/>
        <v>0</v>
      </c>
      <c r="U17" s="224">
        <f t="shared" si="2"/>
        <v>0</v>
      </c>
      <c r="V17" s="224">
        <f t="shared" si="2"/>
        <v>0</v>
      </c>
      <c r="W17" s="224">
        <f t="shared" si="2"/>
        <v>0</v>
      </c>
      <c r="X17" s="224">
        <f t="shared" si="2"/>
        <v>0</v>
      </c>
      <c r="Y17" s="224">
        <f t="shared" si="2"/>
        <v>0</v>
      </c>
      <c r="Z17" s="224">
        <f t="shared" si="2"/>
        <v>0</v>
      </c>
      <c r="AA17" s="224">
        <f t="shared" si="2"/>
        <v>0</v>
      </c>
      <c r="AB17" s="224">
        <f t="shared" si="2"/>
        <v>0</v>
      </c>
      <c r="AC17" s="224">
        <f t="shared" si="2"/>
        <v>0</v>
      </c>
      <c r="AD17" s="224">
        <f t="shared" si="2"/>
        <v>0</v>
      </c>
      <c r="AE17" s="224">
        <f t="shared" si="2"/>
        <v>0</v>
      </c>
      <c r="AF17" s="224">
        <f t="shared" si="2"/>
        <v>0</v>
      </c>
      <c r="AG17" s="224">
        <f t="shared" si="2"/>
        <v>0</v>
      </c>
      <c r="AH17" s="224">
        <f t="shared" si="2"/>
        <v>0</v>
      </c>
      <c r="AI17" s="224">
        <f t="shared" si="2"/>
        <v>0</v>
      </c>
      <c r="AJ17" s="224">
        <f t="shared" si="2"/>
        <v>0</v>
      </c>
      <c r="AK17" s="224">
        <f t="shared" si="2"/>
        <v>0</v>
      </c>
      <c r="AL17" s="224">
        <f t="shared" si="2"/>
        <v>0</v>
      </c>
      <c r="AM17" s="224">
        <f t="shared" si="2"/>
        <v>0</v>
      </c>
      <c r="AN17" s="224">
        <f t="shared" si="2"/>
        <v>0</v>
      </c>
      <c r="AO17" s="224">
        <f t="shared" si="2"/>
        <v>0</v>
      </c>
      <c r="AP17" s="224">
        <f t="shared" si="2"/>
        <v>0</v>
      </c>
      <c r="AQ17" s="224">
        <f t="shared" si="2"/>
        <v>0</v>
      </c>
      <c r="AR17" s="224">
        <f t="shared" si="2"/>
        <v>0</v>
      </c>
      <c r="AS17" s="224">
        <f t="shared" si="2"/>
        <v>0</v>
      </c>
    </row>
    <row r="18" spans="1:45" hidden="1" outlineLevel="1">
      <c r="A18" s="459"/>
      <c r="B18" s="20" t="str">
        <f>'Input - Option 2 Detailed Input'!C19</f>
        <v>Other Staff Costs</v>
      </c>
      <c r="C18" s="272">
        <f>'Input - Option 2 Detailed Input'!I19</f>
        <v>0</v>
      </c>
      <c r="H18" s="343">
        <f>SUM(J18:EJ18)</f>
        <v>0</v>
      </c>
      <c r="I18" s="211"/>
      <c r="J18" s="224">
        <f t="shared" si="4"/>
        <v>0</v>
      </c>
      <c r="K18" s="224">
        <f t="shared" si="2"/>
        <v>0</v>
      </c>
      <c r="L18" s="224">
        <f t="shared" si="2"/>
        <v>0</v>
      </c>
      <c r="M18" s="224">
        <f t="shared" si="2"/>
        <v>0</v>
      </c>
      <c r="N18" s="224">
        <f t="shared" si="2"/>
        <v>0</v>
      </c>
      <c r="O18" s="224">
        <f t="shared" si="2"/>
        <v>0</v>
      </c>
      <c r="P18" s="224">
        <f t="shared" si="2"/>
        <v>0</v>
      </c>
      <c r="Q18" s="224">
        <f t="shared" si="2"/>
        <v>0</v>
      </c>
      <c r="R18" s="224">
        <f t="shared" si="2"/>
        <v>0</v>
      </c>
      <c r="S18" s="224">
        <f t="shared" si="2"/>
        <v>0</v>
      </c>
      <c r="T18" s="224">
        <f t="shared" si="2"/>
        <v>0</v>
      </c>
      <c r="U18" s="224">
        <f t="shared" si="2"/>
        <v>0</v>
      </c>
      <c r="V18" s="224">
        <f t="shared" si="2"/>
        <v>0</v>
      </c>
      <c r="W18" s="224">
        <f t="shared" si="2"/>
        <v>0</v>
      </c>
      <c r="X18" s="224">
        <f t="shared" si="2"/>
        <v>0</v>
      </c>
      <c r="Y18" s="224">
        <f t="shared" si="2"/>
        <v>0</v>
      </c>
      <c r="Z18" s="224">
        <f t="shared" si="2"/>
        <v>0</v>
      </c>
      <c r="AA18" s="224">
        <f t="shared" si="2"/>
        <v>0</v>
      </c>
      <c r="AB18" s="224">
        <f t="shared" si="2"/>
        <v>0</v>
      </c>
      <c r="AC18" s="224">
        <f t="shared" si="2"/>
        <v>0</v>
      </c>
      <c r="AD18" s="224">
        <f t="shared" si="2"/>
        <v>0</v>
      </c>
      <c r="AE18" s="224">
        <f t="shared" si="2"/>
        <v>0</v>
      </c>
      <c r="AF18" s="224">
        <f t="shared" si="2"/>
        <v>0</v>
      </c>
      <c r="AG18" s="224">
        <f t="shared" si="2"/>
        <v>0</v>
      </c>
      <c r="AH18" s="224">
        <f t="shared" si="2"/>
        <v>0</v>
      </c>
      <c r="AI18" s="224">
        <f t="shared" si="2"/>
        <v>0</v>
      </c>
      <c r="AJ18" s="224">
        <f t="shared" si="2"/>
        <v>0</v>
      </c>
      <c r="AK18" s="224">
        <f t="shared" si="2"/>
        <v>0</v>
      </c>
      <c r="AL18" s="224">
        <f t="shared" si="2"/>
        <v>0</v>
      </c>
      <c r="AM18" s="224">
        <f t="shared" si="2"/>
        <v>0</v>
      </c>
      <c r="AN18" s="224">
        <f t="shared" si="2"/>
        <v>0</v>
      </c>
      <c r="AO18" s="224">
        <f t="shared" si="2"/>
        <v>0</v>
      </c>
      <c r="AP18" s="224">
        <f t="shared" si="2"/>
        <v>0</v>
      </c>
      <c r="AQ18" s="224">
        <f t="shared" si="2"/>
        <v>0</v>
      </c>
      <c r="AR18" s="224">
        <f t="shared" si="2"/>
        <v>0</v>
      </c>
      <c r="AS18" s="224">
        <f t="shared" si="2"/>
        <v>0</v>
      </c>
    </row>
    <row r="19" spans="1:45" hidden="1" outlineLevel="1">
      <c r="A19" s="459" t="str">
        <f>'Input - Option 2 Detailed Input'!B20</f>
        <v>Project Design</v>
      </c>
      <c r="B19" s="20" t="str">
        <f>'Input - Option 2 Detailed Input'!C20</f>
        <v>Obtaining Quotations for Services</v>
      </c>
      <c r="C19" s="272">
        <f>'Input - Option 2 Detailed Input'!I20</f>
        <v>0</v>
      </c>
      <c r="H19" s="343">
        <f t="shared" si="3"/>
        <v>0</v>
      </c>
      <c r="I19" s="211"/>
      <c r="J19" s="224">
        <f t="shared" si="4"/>
        <v>0</v>
      </c>
      <c r="K19" s="224">
        <f t="shared" si="2"/>
        <v>0</v>
      </c>
      <c r="L19" s="224">
        <f t="shared" si="2"/>
        <v>0</v>
      </c>
      <c r="M19" s="224">
        <f t="shared" si="2"/>
        <v>0</v>
      </c>
      <c r="N19" s="224">
        <f t="shared" si="2"/>
        <v>0</v>
      </c>
      <c r="O19" s="224">
        <f t="shared" si="2"/>
        <v>0</v>
      </c>
      <c r="P19" s="224">
        <f t="shared" si="2"/>
        <v>0</v>
      </c>
      <c r="Q19" s="224">
        <f t="shared" si="2"/>
        <v>0</v>
      </c>
      <c r="R19" s="224">
        <f t="shared" si="2"/>
        <v>0</v>
      </c>
      <c r="S19" s="224">
        <f t="shared" si="2"/>
        <v>0</v>
      </c>
      <c r="T19" s="224">
        <f t="shared" si="2"/>
        <v>0</v>
      </c>
      <c r="U19" s="224">
        <f t="shared" si="2"/>
        <v>0</v>
      </c>
      <c r="V19" s="224">
        <f t="shared" si="2"/>
        <v>0</v>
      </c>
      <c r="W19" s="224">
        <f t="shared" si="2"/>
        <v>0</v>
      </c>
      <c r="X19" s="224">
        <f t="shared" si="2"/>
        <v>0</v>
      </c>
      <c r="Y19" s="224">
        <f t="shared" si="2"/>
        <v>0</v>
      </c>
      <c r="Z19" s="224">
        <f t="shared" si="2"/>
        <v>0</v>
      </c>
      <c r="AA19" s="224">
        <f t="shared" si="2"/>
        <v>0</v>
      </c>
      <c r="AB19" s="224">
        <f t="shared" si="2"/>
        <v>0</v>
      </c>
      <c r="AC19" s="224">
        <f t="shared" si="2"/>
        <v>0</v>
      </c>
      <c r="AD19" s="224">
        <f t="shared" si="2"/>
        <v>0</v>
      </c>
      <c r="AE19" s="224">
        <f t="shared" si="2"/>
        <v>0</v>
      </c>
      <c r="AF19" s="224">
        <f t="shared" si="2"/>
        <v>0</v>
      </c>
      <c r="AG19" s="224">
        <f t="shared" si="2"/>
        <v>0</v>
      </c>
      <c r="AH19" s="224">
        <f t="shared" si="2"/>
        <v>0</v>
      </c>
      <c r="AI19" s="224">
        <f t="shared" si="2"/>
        <v>0</v>
      </c>
      <c r="AJ19" s="224">
        <f t="shared" si="2"/>
        <v>0</v>
      </c>
      <c r="AK19" s="224">
        <f t="shared" si="2"/>
        <v>0</v>
      </c>
      <c r="AL19" s="224">
        <f t="shared" si="2"/>
        <v>0</v>
      </c>
      <c r="AM19" s="224">
        <f t="shared" si="2"/>
        <v>0</v>
      </c>
      <c r="AN19" s="224">
        <f t="shared" si="2"/>
        <v>0</v>
      </c>
      <c r="AO19" s="224">
        <f t="shared" si="2"/>
        <v>0</v>
      </c>
      <c r="AP19" s="224">
        <f t="shared" si="2"/>
        <v>0</v>
      </c>
      <c r="AQ19" s="224">
        <f t="shared" si="2"/>
        <v>0</v>
      </c>
      <c r="AR19" s="224">
        <f t="shared" si="2"/>
        <v>0</v>
      </c>
      <c r="AS19" s="224">
        <f t="shared" si="2"/>
        <v>0</v>
      </c>
    </row>
    <row r="20" spans="1:45" hidden="1" outlineLevel="1">
      <c r="A20" s="459"/>
      <c r="B20" s="20" t="str">
        <f>'Input - Option 2 Detailed Input'!C21</f>
        <v>Grant Applications and Management</v>
      </c>
      <c r="C20" s="272">
        <f>'Input - Option 2 Detailed Input'!I21</f>
        <v>0</v>
      </c>
      <c r="H20" s="343">
        <f t="shared" si="3"/>
        <v>0</v>
      </c>
      <c r="I20" s="211"/>
      <c r="J20" s="224">
        <f t="shared" si="4"/>
        <v>0</v>
      </c>
      <c r="K20" s="224">
        <f t="shared" si="2"/>
        <v>0</v>
      </c>
      <c r="L20" s="224">
        <f t="shared" si="2"/>
        <v>0</v>
      </c>
      <c r="M20" s="224">
        <f t="shared" si="2"/>
        <v>0</v>
      </c>
      <c r="N20" s="224">
        <f t="shared" si="2"/>
        <v>0</v>
      </c>
      <c r="O20" s="224">
        <f t="shared" si="2"/>
        <v>0</v>
      </c>
      <c r="P20" s="224">
        <f t="shared" si="2"/>
        <v>0</v>
      </c>
      <c r="Q20" s="224">
        <f t="shared" si="2"/>
        <v>0</v>
      </c>
      <c r="R20" s="224">
        <f t="shared" si="2"/>
        <v>0</v>
      </c>
      <c r="S20" s="224">
        <f t="shared" si="2"/>
        <v>0</v>
      </c>
      <c r="T20" s="224">
        <f t="shared" si="2"/>
        <v>0</v>
      </c>
      <c r="U20" s="224">
        <f t="shared" si="2"/>
        <v>0</v>
      </c>
      <c r="V20" s="224">
        <f t="shared" si="2"/>
        <v>0</v>
      </c>
      <c r="W20" s="224">
        <f t="shared" si="2"/>
        <v>0</v>
      </c>
      <c r="X20" s="224">
        <f t="shared" si="2"/>
        <v>0</v>
      </c>
      <c r="Y20" s="224">
        <f t="shared" si="2"/>
        <v>0</v>
      </c>
      <c r="Z20" s="224">
        <f t="shared" si="2"/>
        <v>0</v>
      </c>
      <c r="AA20" s="224">
        <f t="shared" si="2"/>
        <v>0</v>
      </c>
      <c r="AB20" s="224">
        <f t="shared" si="2"/>
        <v>0</v>
      </c>
      <c r="AC20" s="224">
        <f t="shared" si="2"/>
        <v>0</v>
      </c>
      <c r="AD20" s="224">
        <f t="shared" si="2"/>
        <v>0</v>
      </c>
      <c r="AE20" s="224">
        <f t="shared" si="2"/>
        <v>0</v>
      </c>
      <c r="AF20" s="224">
        <f t="shared" si="2"/>
        <v>0</v>
      </c>
      <c r="AG20" s="224">
        <f t="shared" si="2"/>
        <v>0</v>
      </c>
      <c r="AH20" s="224">
        <f t="shared" si="2"/>
        <v>0</v>
      </c>
      <c r="AI20" s="224">
        <f t="shared" si="2"/>
        <v>0</v>
      </c>
      <c r="AJ20" s="224">
        <f t="shared" ref="K20:AS27" si="5">-IF(AND(AJ$3&gt;=$C$10,AJ$3&lt;=$D$10),($C20*AJ$4),)</f>
        <v>0</v>
      </c>
      <c r="AK20" s="224">
        <f t="shared" si="5"/>
        <v>0</v>
      </c>
      <c r="AL20" s="224">
        <f t="shared" si="5"/>
        <v>0</v>
      </c>
      <c r="AM20" s="224">
        <f t="shared" si="5"/>
        <v>0</v>
      </c>
      <c r="AN20" s="224">
        <f t="shared" si="5"/>
        <v>0</v>
      </c>
      <c r="AO20" s="224">
        <f t="shared" si="5"/>
        <v>0</v>
      </c>
      <c r="AP20" s="224">
        <f t="shared" si="5"/>
        <v>0</v>
      </c>
      <c r="AQ20" s="224">
        <f t="shared" si="5"/>
        <v>0</v>
      </c>
      <c r="AR20" s="224">
        <f t="shared" si="5"/>
        <v>0</v>
      </c>
      <c r="AS20" s="224">
        <f t="shared" si="5"/>
        <v>0</v>
      </c>
    </row>
    <row r="21" spans="1:45" hidden="1" outlineLevel="1">
      <c r="A21" s="459"/>
      <c r="B21" s="20" t="str">
        <f>'Input - Option 2 Detailed Input'!C22</f>
        <v>Updating Relevant Databases</v>
      </c>
      <c r="C21" s="272">
        <f>'Input - Option 2 Detailed Input'!I22</f>
        <v>0</v>
      </c>
      <c r="H21" s="343">
        <f t="shared" si="3"/>
        <v>0</v>
      </c>
      <c r="I21" s="211"/>
      <c r="J21" s="224">
        <f t="shared" si="4"/>
        <v>0</v>
      </c>
      <c r="K21" s="224">
        <f t="shared" si="5"/>
        <v>0</v>
      </c>
      <c r="L21" s="224">
        <f t="shared" si="5"/>
        <v>0</v>
      </c>
      <c r="M21" s="224">
        <f t="shared" si="5"/>
        <v>0</v>
      </c>
      <c r="N21" s="224">
        <f t="shared" si="5"/>
        <v>0</v>
      </c>
      <c r="O21" s="224">
        <f t="shared" si="5"/>
        <v>0</v>
      </c>
      <c r="P21" s="224">
        <f t="shared" si="5"/>
        <v>0</v>
      </c>
      <c r="Q21" s="224">
        <f t="shared" si="5"/>
        <v>0</v>
      </c>
      <c r="R21" s="224">
        <f t="shared" si="5"/>
        <v>0</v>
      </c>
      <c r="S21" s="224">
        <f t="shared" si="5"/>
        <v>0</v>
      </c>
      <c r="T21" s="224">
        <f t="shared" si="5"/>
        <v>0</v>
      </c>
      <c r="U21" s="224">
        <f t="shared" si="5"/>
        <v>0</v>
      </c>
      <c r="V21" s="224">
        <f t="shared" si="5"/>
        <v>0</v>
      </c>
      <c r="W21" s="224">
        <f t="shared" si="5"/>
        <v>0</v>
      </c>
      <c r="X21" s="224">
        <f t="shared" si="5"/>
        <v>0</v>
      </c>
      <c r="Y21" s="224">
        <f t="shared" si="5"/>
        <v>0</v>
      </c>
      <c r="Z21" s="224">
        <f t="shared" si="5"/>
        <v>0</v>
      </c>
      <c r="AA21" s="224">
        <f t="shared" si="5"/>
        <v>0</v>
      </c>
      <c r="AB21" s="224">
        <f t="shared" si="5"/>
        <v>0</v>
      </c>
      <c r="AC21" s="224">
        <f t="shared" si="5"/>
        <v>0</v>
      </c>
      <c r="AD21" s="224">
        <f t="shared" si="5"/>
        <v>0</v>
      </c>
      <c r="AE21" s="224">
        <f t="shared" si="5"/>
        <v>0</v>
      </c>
      <c r="AF21" s="224">
        <f t="shared" si="5"/>
        <v>0</v>
      </c>
      <c r="AG21" s="224">
        <f t="shared" si="5"/>
        <v>0</v>
      </c>
      <c r="AH21" s="224">
        <f t="shared" si="5"/>
        <v>0</v>
      </c>
      <c r="AI21" s="224">
        <f t="shared" si="5"/>
        <v>0</v>
      </c>
      <c r="AJ21" s="224">
        <f t="shared" si="5"/>
        <v>0</v>
      </c>
      <c r="AK21" s="224">
        <f t="shared" si="5"/>
        <v>0</v>
      </c>
      <c r="AL21" s="224">
        <f t="shared" si="5"/>
        <v>0</v>
      </c>
      <c r="AM21" s="224">
        <f t="shared" si="5"/>
        <v>0</v>
      </c>
      <c r="AN21" s="224">
        <f t="shared" si="5"/>
        <v>0</v>
      </c>
      <c r="AO21" s="224">
        <f t="shared" si="5"/>
        <v>0</v>
      </c>
      <c r="AP21" s="224">
        <f t="shared" si="5"/>
        <v>0</v>
      </c>
      <c r="AQ21" s="224">
        <f t="shared" si="5"/>
        <v>0</v>
      </c>
      <c r="AR21" s="224">
        <f t="shared" si="5"/>
        <v>0</v>
      </c>
      <c r="AS21" s="224">
        <f t="shared" si="5"/>
        <v>0</v>
      </c>
    </row>
    <row r="22" spans="1:45" hidden="1" outlineLevel="1">
      <c r="A22" s="459"/>
      <c r="B22" s="20" t="str">
        <f>'Input - Option 2 Detailed Input'!C23</f>
        <v>Other Staff Costs</v>
      </c>
      <c r="C22" s="272">
        <f>'Input - Option 2 Detailed Input'!I23</f>
        <v>0</v>
      </c>
      <c r="H22" s="343">
        <f t="shared" si="3"/>
        <v>0</v>
      </c>
      <c r="I22" s="211"/>
      <c r="J22" s="224">
        <f t="shared" si="4"/>
        <v>0</v>
      </c>
      <c r="K22" s="224">
        <f t="shared" si="5"/>
        <v>0</v>
      </c>
      <c r="L22" s="224">
        <f t="shared" si="5"/>
        <v>0</v>
      </c>
      <c r="M22" s="224">
        <f t="shared" si="5"/>
        <v>0</v>
      </c>
      <c r="N22" s="224">
        <f t="shared" si="5"/>
        <v>0</v>
      </c>
      <c r="O22" s="224">
        <f t="shared" si="5"/>
        <v>0</v>
      </c>
      <c r="P22" s="224">
        <f t="shared" si="5"/>
        <v>0</v>
      </c>
      <c r="Q22" s="224">
        <f t="shared" si="5"/>
        <v>0</v>
      </c>
      <c r="R22" s="224">
        <f t="shared" si="5"/>
        <v>0</v>
      </c>
      <c r="S22" s="224">
        <f t="shared" si="5"/>
        <v>0</v>
      </c>
      <c r="T22" s="224">
        <f t="shared" si="5"/>
        <v>0</v>
      </c>
      <c r="U22" s="224">
        <f t="shared" si="5"/>
        <v>0</v>
      </c>
      <c r="V22" s="224">
        <f t="shared" si="5"/>
        <v>0</v>
      </c>
      <c r="W22" s="224">
        <f t="shared" si="5"/>
        <v>0</v>
      </c>
      <c r="X22" s="224">
        <f t="shared" si="5"/>
        <v>0</v>
      </c>
      <c r="Y22" s="224">
        <f t="shared" si="5"/>
        <v>0</v>
      </c>
      <c r="Z22" s="224">
        <f t="shared" si="5"/>
        <v>0</v>
      </c>
      <c r="AA22" s="224">
        <f t="shared" si="5"/>
        <v>0</v>
      </c>
      <c r="AB22" s="224">
        <f t="shared" si="5"/>
        <v>0</v>
      </c>
      <c r="AC22" s="224">
        <f t="shared" si="5"/>
        <v>0</v>
      </c>
      <c r="AD22" s="224">
        <f t="shared" si="5"/>
        <v>0</v>
      </c>
      <c r="AE22" s="224">
        <f t="shared" si="5"/>
        <v>0</v>
      </c>
      <c r="AF22" s="224">
        <f t="shared" si="5"/>
        <v>0</v>
      </c>
      <c r="AG22" s="224">
        <f t="shared" si="5"/>
        <v>0</v>
      </c>
      <c r="AH22" s="224">
        <f t="shared" si="5"/>
        <v>0</v>
      </c>
      <c r="AI22" s="224">
        <f t="shared" si="5"/>
        <v>0</v>
      </c>
      <c r="AJ22" s="224">
        <f t="shared" si="5"/>
        <v>0</v>
      </c>
      <c r="AK22" s="224">
        <f t="shared" si="5"/>
        <v>0</v>
      </c>
      <c r="AL22" s="224">
        <f t="shared" si="5"/>
        <v>0</v>
      </c>
      <c r="AM22" s="224">
        <f t="shared" si="5"/>
        <v>0</v>
      </c>
      <c r="AN22" s="224">
        <f t="shared" si="5"/>
        <v>0</v>
      </c>
      <c r="AO22" s="224">
        <f t="shared" si="5"/>
        <v>0</v>
      </c>
      <c r="AP22" s="224">
        <f t="shared" si="5"/>
        <v>0</v>
      </c>
      <c r="AQ22" s="224">
        <f t="shared" si="5"/>
        <v>0</v>
      </c>
      <c r="AR22" s="224">
        <f t="shared" si="5"/>
        <v>0</v>
      </c>
      <c r="AS22" s="224">
        <f t="shared" si="5"/>
        <v>0</v>
      </c>
    </row>
    <row r="23" spans="1:45" hidden="1" outlineLevel="1">
      <c r="A23" s="459" t="str">
        <f>'Input - Option 2 Detailed Input'!B24</f>
        <v>Public Consultation</v>
      </c>
      <c r="B23" s="20" t="str">
        <f>'Input - Option 2 Detailed Input'!C24</f>
        <v>Liaising With Residents And Relevant Stakeholders e.g. Trees for Cities</v>
      </c>
      <c r="C23" s="272">
        <f>'Input - Option 2 Detailed Input'!I24</f>
        <v>0</v>
      </c>
      <c r="H23" s="343">
        <f t="shared" si="3"/>
        <v>0</v>
      </c>
      <c r="I23" s="211"/>
      <c r="J23" s="224">
        <f t="shared" si="4"/>
        <v>0</v>
      </c>
      <c r="K23" s="224">
        <f t="shared" si="5"/>
        <v>0</v>
      </c>
      <c r="L23" s="224">
        <f t="shared" si="5"/>
        <v>0</v>
      </c>
      <c r="M23" s="224">
        <f t="shared" si="5"/>
        <v>0</v>
      </c>
      <c r="N23" s="224">
        <f t="shared" si="5"/>
        <v>0</v>
      </c>
      <c r="O23" s="224">
        <f t="shared" si="5"/>
        <v>0</v>
      </c>
      <c r="P23" s="224">
        <f t="shared" si="5"/>
        <v>0</v>
      </c>
      <c r="Q23" s="224">
        <f t="shared" si="5"/>
        <v>0</v>
      </c>
      <c r="R23" s="224">
        <f t="shared" si="5"/>
        <v>0</v>
      </c>
      <c r="S23" s="224">
        <f t="shared" si="5"/>
        <v>0</v>
      </c>
      <c r="T23" s="224">
        <f t="shared" si="5"/>
        <v>0</v>
      </c>
      <c r="U23" s="224">
        <f t="shared" si="5"/>
        <v>0</v>
      </c>
      <c r="V23" s="224">
        <f t="shared" si="5"/>
        <v>0</v>
      </c>
      <c r="W23" s="224">
        <f t="shared" si="5"/>
        <v>0</v>
      </c>
      <c r="X23" s="224">
        <f t="shared" si="5"/>
        <v>0</v>
      </c>
      <c r="Y23" s="224">
        <f t="shared" si="5"/>
        <v>0</v>
      </c>
      <c r="Z23" s="224">
        <f t="shared" si="5"/>
        <v>0</v>
      </c>
      <c r="AA23" s="224">
        <f t="shared" si="5"/>
        <v>0</v>
      </c>
      <c r="AB23" s="224">
        <f t="shared" si="5"/>
        <v>0</v>
      </c>
      <c r="AC23" s="224">
        <f t="shared" si="5"/>
        <v>0</v>
      </c>
      <c r="AD23" s="224">
        <f t="shared" si="5"/>
        <v>0</v>
      </c>
      <c r="AE23" s="224">
        <f t="shared" si="5"/>
        <v>0</v>
      </c>
      <c r="AF23" s="224">
        <f t="shared" si="5"/>
        <v>0</v>
      </c>
      <c r="AG23" s="224">
        <f t="shared" si="5"/>
        <v>0</v>
      </c>
      <c r="AH23" s="224">
        <f t="shared" si="5"/>
        <v>0</v>
      </c>
      <c r="AI23" s="224">
        <f t="shared" si="5"/>
        <v>0</v>
      </c>
      <c r="AJ23" s="224">
        <f t="shared" si="5"/>
        <v>0</v>
      </c>
      <c r="AK23" s="224">
        <f t="shared" si="5"/>
        <v>0</v>
      </c>
      <c r="AL23" s="224">
        <f t="shared" si="5"/>
        <v>0</v>
      </c>
      <c r="AM23" s="224">
        <f t="shared" si="5"/>
        <v>0</v>
      </c>
      <c r="AN23" s="224">
        <f t="shared" si="5"/>
        <v>0</v>
      </c>
      <c r="AO23" s="224">
        <f t="shared" si="5"/>
        <v>0</v>
      </c>
      <c r="AP23" s="224">
        <f t="shared" si="5"/>
        <v>0</v>
      </c>
      <c r="AQ23" s="224">
        <f t="shared" si="5"/>
        <v>0</v>
      </c>
      <c r="AR23" s="224">
        <f t="shared" si="5"/>
        <v>0</v>
      </c>
      <c r="AS23" s="224">
        <f t="shared" si="5"/>
        <v>0</v>
      </c>
    </row>
    <row r="24" spans="1:45" hidden="1" outlineLevel="1">
      <c r="A24" s="459"/>
      <c r="B24" s="20" t="str">
        <f>'Input - Option 2 Detailed Input'!C25</f>
        <v>Organising Consultations</v>
      </c>
      <c r="C24" s="272">
        <f>'Input - Option 2 Detailed Input'!I25</f>
        <v>0</v>
      </c>
      <c r="H24" s="343">
        <f t="shared" si="3"/>
        <v>0</v>
      </c>
      <c r="I24" s="211"/>
      <c r="J24" s="224">
        <f t="shared" si="4"/>
        <v>0</v>
      </c>
      <c r="K24" s="224">
        <f t="shared" si="5"/>
        <v>0</v>
      </c>
      <c r="L24" s="224">
        <f t="shared" si="5"/>
        <v>0</v>
      </c>
      <c r="M24" s="224">
        <f t="shared" si="5"/>
        <v>0</v>
      </c>
      <c r="N24" s="224">
        <f t="shared" si="5"/>
        <v>0</v>
      </c>
      <c r="O24" s="224">
        <f t="shared" si="5"/>
        <v>0</v>
      </c>
      <c r="P24" s="224">
        <f t="shared" si="5"/>
        <v>0</v>
      </c>
      <c r="Q24" s="224">
        <f t="shared" si="5"/>
        <v>0</v>
      </c>
      <c r="R24" s="224">
        <f t="shared" si="5"/>
        <v>0</v>
      </c>
      <c r="S24" s="224">
        <f t="shared" si="5"/>
        <v>0</v>
      </c>
      <c r="T24" s="224">
        <f t="shared" si="5"/>
        <v>0</v>
      </c>
      <c r="U24" s="224">
        <f t="shared" si="5"/>
        <v>0</v>
      </c>
      <c r="V24" s="224">
        <f t="shared" si="5"/>
        <v>0</v>
      </c>
      <c r="W24" s="224">
        <f t="shared" si="5"/>
        <v>0</v>
      </c>
      <c r="X24" s="224">
        <f t="shared" si="5"/>
        <v>0</v>
      </c>
      <c r="Y24" s="224">
        <f t="shared" si="5"/>
        <v>0</v>
      </c>
      <c r="Z24" s="224">
        <f t="shared" si="5"/>
        <v>0</v>
      </c>
      <c r="AA24" s="224">
        <f t="shared" si="5"/>
        <v>0</v>
      </c>
      <c r="AB24" s="224">
        <f t="shared" si="5"/>
        <v>0</v>
      </c>
      <c r="AC24" s="224">
        <f t="shared" si="5"/>
        <v>0</v>
      </c>
      <c r="AD24" s="224">
        <f t="shared" si="5"/>
        <v>0</v>
      </c>
      <c r="AE24" s="224">
        <f t="shared" si="5"/>
        <v>0</v>
      </c>
      <c r="AF24" s="224">
        <f t="shared" si="5"/>
        <v>0</v>
      </c>
      <c r="AG24" s="224">
        <f t="shared" si="5"/>
        <v>0</v>
      </c>
      <c r="AH24" s="224">
        <f t="shared" si="5"/>
        <v>0</v>
      </c>
      <c r="AI24" s="224">
        <f t="shared" si="5"/>
        <v>0</v>
      </c>
      <c r="AJ24" s="224">
        <f t="shared" si="5"/>
        <v>0</v>
      </c>
      <c r="AK24" s="224">
        <f t="shared" si="5"/>
        <v>0</v>
      </c>
      <c r="AL24" s="224">
        <f t="shared" si="5"/>
        <v>0</v>
      </c>
      <c r="AM24" s="224">
        <f t="shared" si="5"/>
        <v>0</v>
      </c>
      <c r="AN24" s="224">
        <f t="shared" si="5"/>
        <v>0</v>
      </c>
      <c r="AO24" s="224">
        <f t="shared" si="5"/>
        <v>0</v>
      </c>
      <c r="AP24" s="224">
        <f t="shared" si="5"/>
        <v>0</v>
      </c>
      <c r="AQ24" s="224">
        <f t="shared" si="5"/>
        <v>0</v>
      </c>
      <c r="AR24" s="224">
        <f t="shared" si="5"/>
        <v>0</v>
      </c>
      <c r="AS24" s="224">
        <f t="shared" si="5"/>
        <v>0</v>
      </c>
    </row>
    <row r="25" spans="1:45" hidden="1" outlineLevel="1">
      <c r="A25" s="459"/>
      <c r="B25" s="20" t="str">
        <f>'Input - Option 2 Detailed Input'!C26</f>
        <v>Gathering Data</v>
      </c>
      <c r="C25" s="272">
        <f>'Input - Option 2 Detailed Input'!I26</f>
        <v>0</v>
      </c>
      <c r="H25" s="343">
        <f t="shared" si="3"/>
        <v>0</v>
      </c>
      <c r="I25" s="211"/>
      <c r="J25" s="224">
        <f t="shared" si="4"/>
        <v>0</v>
      </c>
      <c r="K25" s="224">
        <f t="shared" si="5"/>
        <v>0</v>
      </c>
      <c r="L25" s="224">
        <f t="shared" si="5"/>
        <v>0</v>
      </c>
      <c r="M25" s="224">
        <f t="shared" si="5"/>
        <v>0</v>
      </c>
      <c r="N25" s="224">
        <f t="shared" si="5"/>
        <v>0</v>
      </c>
      <c r="O25" s="224">
        <f t="shared" si="5"/>
        <v>0</v>
      </c>
      <c r="P25" s="224">
        <f t="shared" si="5"/>
        <v>0</v>
      </c>
      <c r="Q25" s="224">
        <f t="shared" si="5"/>
        <v>0</v>
      </c>
      <c r="R25" s="224">
        <f t="shared" si="5"/>
        <v>0</v>
      </c>
      <c r="S25" s="224">
        <f t="shared" si="5"/>
        <v>0</v>
      </c>
      <c r="T25" s="224">
        <f t="shared" si="5"/>
        <v>0</v>
      </c>
      <c r="U25" s="224">
        <f t="shared" si="5"/>
        <v>0</v>
      </c>
      <c r="V25" s="224">
        <f t="shared" si="5"/>
        <v>0</v>
      </c>
      <c r="W25" s="224">
        <f t="shared" si="5"/>
        <v>0</v>
      </c>
      <c r="X25" s="224">
        <f t="shared" si="5"/>
        <v>0</v>
      </c>
      <c r="Y25" s="224">
        <f t="shared" si="5"/>
        <v>0</v>
      </c>
      <c r="Z25" s="224">
        <f t="shared" si="5"/>
        <v>0</v>
      </c>
      <c r="AA25" s="224">
        <f t="shared" si="5"/>
        <v>0</v>
      </c>
      <c r="AB25" s="224">
        <f t="shared" si="5"/>
        <v>0</v>
      </c>
      <c r="AC25" s="224">
        <f t="shared" si="5"/>
        <v>0</v>
      </c>
      <c r="AD25" s="224">
        <f t="shared" si="5"/>
        <v>0</v>
      </c>
      <c r="AE25" s="224">
        <f t="shared" si="5"/>
        <v>0</v>
      </c>
      <c r="AF25" s="224">
        <f t="shared" si="5"/>
        <v>0</v>
      </c>
      <c r="AG25" s="224">
        <f t="shared" si="5"/>
        <v>0</v>
      </c>
      <c r="AH25" s="224">
        <f t="shared" si="5"/>
        <v>0</v>
      </c>
      <c r="AI25" s="224">
        <f t="shared" si="5"/>
        <v>0</v>
      </c>
      <c r="AJ25" s="224">
        <f t="shared" si="5"/>
        <v>0</v>
      </c>
      <c r="AK25" s="224">
        <f t="shared" si="5"/>
        <v>0</v>
      </c>
      <c r="AL25" s="224">
        <f t="shared" si="5"/>
        <v>0</v>
      </c>
      <c r="AM25" s="224">
        <f t="shared" si="5"/>
        <v>0</v>
      </c>
      <c r="AN25" s="224">
        <f t="shared" si="5"/>
        <v>0</v>
      </c>
      <c r="AO25" s="224">
        <f t="shared" si="5"/>
        <v>0</v>
      </c>
      <c r="AP25" s="224">
        <f t="shared" si="5"/>
        <v>0</v>
      </c>
      <c r="AQ25" s="224">
        <f t="shared" si="5"/>
        <v>0</v>
      </c>
      <c r="AR25" s="224">
        <f t="shared" si="5"/>
        <v>0</v>
      </c>
      <c r="AS25" s="224">
        <f t="shared" si="5"/>
        <v>0</v>
      </c>
    </row>
    <row r="26" spans="1:45" hidden="1" outlineLevel="1">
      <c r="A26" s="459"/>
      <c r="B26" s="20" t="str">
        <f>'Input - Option 2 Detailed Input'!C27</f>
        <v>Integrating Findings into Project Design</v>
      </c>
      <c r="C26" s="272">
        <f>'Input - Option 2 Detailed Input'!I27</f>
        <v>0</v>
      </c>
      <c r="H26" s="343">
        <f t="shared" si="3"/>
        <v>0</v>
      </c>
      <c r="I26" s="211"/>
      <c r="J26" s="224">
        <f t="shared" si="4"/>
        <v>0</v>
      </c>
      <c r="K26" s="224">
        <f t="shared" si="5"/>
        <v>0</v>
      </c>
      <c r="L26" s="224">
        <f t="shared" si="5"/>
        <v>0</v>
      </c>
      <c r="M26" s="224">
        <f t="shared" si="5"/>
        <v>0</v>
      </c>
      <c r="N26" s="224">
        <f t="shared" si="5"/>
        <v>0</v>
      </c>
      <c r="O26" s="224">
        <f t="shared" si="5"/>
        <v>0</v>
      </c>
      <c r="P26" s="224">
        <f t="shared" si="5"/>
        <v>0</v>
      </c>
      <c r="Q26" s="224">
        <f t="shared" si="5"/>
        <v>0</v>
      </c>
      <c r="R26" s="224">
        <f t="shared" si="5"/>
        <v>0</v>
      </c>
      <c r="S26" s="224">
        <f t="shared" si="5"/>
        <v>0</v>
      </c>
      <c r="T26" s="224">
        <f t="shared" si="5"/>
        <v>0</v>
      </c>
      <c r="U26" s="224">
        <f t="shared" si="5"/>
        <v>0</v>
      </c>
      <c r="V26" s="224">
        <f t="shared" si="5"/>
        <v>0</v>
      </c>
      <c r="W26" s="224">
        <f t="shared" si="5"/>
        <v>0</v>
      </c>
      <c r="X26" s="224">
        <f t="shared" si="5"/>
        <v>0</v>
      </c>
      <c r="Y26" s="224">
        <f t="shared" si="5"/>
        <v>0</v>
      </c>
      <c r="Z26" s="224">
        <f t="shared" si="5"/>
        <v>0</v>
      </c>
      <c r="AA26" s="224">
        <f t="shared" si="5"/>
        <v>0</v>
      </c>
      <c r="AB26" s="224">
        <f t="shared" si="5"/>
        <v>0</v>
      </c>
      <c r="AC26" s="224">
        <f t="shared" si="5"/>
        <v>0</v>
      </c>
      <c r="AD26" s="224">
        <f t="shared" si="5"/>
        <v>0</v>
      </c>
      <c r="AE26" s="224">
        <f t="shared" si="5"/>
        <v>0</v>
      </c>
      <c r="AF26" s="224">
        <f t="shared" si="5"/>
        <v>0</v>
      </c>
      <c r="AG26" s="224">
        <f t="shared" si="5"/>
        <v>0</v>
      </c>
      <c r="AH26" s="224">
        <f t="shared" si="5"/>
        <v>0</v>
      </c>
      <c r="AI26" s="224">
        <f t="shared" si="5"/>
        <v>0</v>
      </c>
      <c r="AJ26" s="224">
        <f t="shared" si="5"/>
        <v>0</v>
      </c>
      <c r="AK26" s="224">
        <f t="shared" si="5"/>
        <v>0</v>
      </c>
      <c r="AL26" s="224">
        <f t="shared" si="5"/>
        <v>0</v>
      </c>
      <c r="AM26" s="224">
        <f t="shared" si="5"/>
        <v>0</v>
      </c>
      <c r="AN26" s="224">
        <f t="shared" si="5"/>
        <v>0</v>
      </c>
      <c r="AO26" s="224">
        <f t="shared" si="5"/>
        <v>0</v>
      </c>
      <c r="AP26" s="224">
        <f t="shared" si="5"/>
        <v>0</v>
      </c>
      <c r="AQ26" s="224">
        <f t="shared" si="5"/>
        <v>0</v>
      </c>
      <c r="AR26" s="224">
        <f t="shared" si="5"/>
        <v>0</v>
      </c>
      <c r="AS26" s="224">
        <f t="shared" si="5"/>
        <v>0</v>
      </c>
    </row>
    <row r="27" spans="1:45" hidden="1" outlineLevel="1">
      <c r="A27" s="459"/>
      <c r="B27" s="20" t="str">
        <f>'Input - Option 2 Detailed Input'!C28</f>
        <v>Other Staff Costs</v>
      </c>
      <c r="C27" s="272">
        <f>'Input - Option 2 Detailed Input'!I28</f>
        <v>0</v>
      </c>
      <c r="H27" s="343">
        <f t="shared" si="3"/>
        <v>0</v>
      </c>
      <c r="I27" s="211"/>
      <c r="J27" s="224">
        <f t="shared" si="4"/>
        <v>0</v>
      </c>
      <c r="K27" s="224">
        <f t="shared" si="5"/>
        <v>0</v>
      </c>
      <c r="L27" s="224">
        <f t="shared" si="5"/>
        <v>0</v>
      </c>
      <c r="M27" s="224">
        <f t="shared" si="5"/>
        <v>0</v>
      </c>
      <c r="N27" s="224">
        <f t="shared" si="5"/>
        <v>0</v>
      </c>
      <c r="O27" s="224">
        <f t="shared" si="5"/>
        <v>0</v>
      </c>
      <c r="P27" s="224">
        <f t="shared" si="5"/>
        <v>0</v>
      </c>
      <c r="Q27" s="224">
        <f t="shared" si="5"/>
        <v>0</v>
      </c>
      <c r="R27" s="224">
        <f t="shared" si="5"/>
        <v>0</v>
      </c>
      <c r="S27" s="224">
        <f t="shared" si="5"/>
        <v>0</v>
      </c>
      <c r="T27" s="224">
        <f t="shared" si="5"/>
        <v>0</v>
      </c>
      <c r="U27" s="224">
        <f t="shared" si="5"/>
        <v>0</v>
      </c>
      <c r="V27" s="224">
        <f t="shared" si="5"/>
        <v>0</v>
      </c>
      <c r="W27" s="224">
        <f t="shared" si="5"/>
        <v>0</v>
      </c>
      <c r="X27" s="224">
        <f t="shared" si="5"/>
        <v>0</v>
      </c>
      <c r="Y27" s="224">
        <f t="shared" si="5"/>
        <v>0</v>
      </c>
      <c r="Z27" s="224">
        <f t="shared" si="5"/>
        <v>0</v>
      </c>
      <c r="AA27" s="224">
        <f t="shared" si="5"/>
        <v>0</v>
      </c>
      <c r="AB27" s="224">
        <f t="shared" si="5"/>
        <v>0</v>
      </c>
      <c r="AC27" s="224">
        <f t="shared" si="5"/>
        <v>0</v>
      </c>
      <c r="AD27" s="224">
        <f t="shared" si="5"/>
        <v>0</v>
      </c>
      <c r="AE27" s="224">
        <f t="shared" si="5"/>
        <v>0</v>
      </c>
      <c r="AF27" s="224">
        <f t="shared" si="5"/>
        <v>0</v>
      </c>
      <c r="AG27" s="224">
        <f t="shared" si="5"/>
        <v>0</v>
      </c>
      <c r="AH27" s="224">
        <f t="shared" si="5"/>
        <v>0</v>
      </c>
      <c r="AI27" s="224">
        <f t="shared" si="5"/>
        <v>0</v>
      </c>
      <c r="AJ27" s="224">
        <f t="shared" si="5"/>
        <v>0</v>
      </c>
      <c r="AK27" s="224">
        <f t="shared" si="5"/>
        <v>0</v>
      </c>
      <c r="AL27" s="224">
        <f t="shared" si="5"/>
        <v>0</v>
      </c>
      <c r="AM27" s="224">
        <f t="shared" si="5"/>
        <v>0</v>
      </c>
      <c r="AN27" s="224">
        <f t="shared" si="5"/>
        <v>0</v>
      </c>
      <c r="AO27" s="224">
        <f t="shared" si="5"/>
        <v>0</v>
      </c>
      <c r="AP27" s="224">
        <f t="shared" si="5"/>
        <v>0</v>
      </c>
      <c r="AQ27" s="224">
        <f t="shared" si="5"/>
        <v>0</v>
      </c>
      <c r="AR27" s="224">
        <f t="shared" si="5"/>
        <v>0</v>
      </c>
      <c r="AS27" s="224">
        <f t="shared" si="5"/>
        <v>0</v>
      </c>
    </row>
    <row r="28" spans="1:45" hidden="1" outlineLevel="1">
      <c r="A28" s="3"/>
      <c r="H28" s="343"/>
      <c r="I28" s="211"/>
    </row>
    <row r="29" spans="1:45" hidden="1" outlineLevel="1">
      <c r="A29" s="14"/>
      <c r="B29" s="49" t="str">
        <f>'Input - Option 2 Detailed Input'!C30</f>
        <v>Other non-staff costs</v>
      </c>
      <c r="C29" s="40" t="str">
        <f>'Input - Option 2 Detailed Input'!F30</f>
        <v>Total Costs excl. inflation</v>
      </c>
      <c r="H29" s="343"/>
      <c r="I29" s="212"/>
    </row>
    <row r="30" spans="1:45" hidden="1" outlineLevel="1">
      <c r="A30" s="14"/>
      <c r="B30" s="20" t="str">
        <f>'Input - Option 2 Detailed Input'!C31</f>
        <v xml:space="preserve">[Additional Costs #1] </v>
      </c>
      <c r="C30" s="30">
        <f>'Input - Option 2 Detailed Input'!F31</f>
        <v>0</v>
      </c>
      <c r="H30" s="343">
        <f>SUM(J30:EJ30)</f>
        <v>0</v>
      </c>
      <c r="I30" s="211"/>
      <c r="J30" s="224">
        <f>-IF(AND(J$3&gt;=$C$10,J$3&lt;=$D$10),($C30*J$4),)</f>
        <v>0</v>
      </c>
      <c r="K30" s="224">
        <f t="shared" ref="K30:AS37" si="6">-IF(AND(K$3&gt;=$C$10,K$3&lt;=$D$10),($C30*K$4),)</f>
        <v>0</v>
      </c>
      <c r="L30" s="224">
        <f t="shared" si="6"/>
        <v>0</v>
      </c>
      <c r="M30" s="224">
        <f t="shared" si="6"/>
        <v>0</v>
      </c>
      <c r="N30" s="224">
        <f t="shared" si="6"/>
        <v>0</v>
      </c>
      <c r="O30" s="224">
        <f t="shared" si="6"/>
        <v>0</v>
      </c>
      <c r="P30" s="224">
        <f t="shared" si="6"/>
        <v>0</v>
      </c>
      <c r="Q30" s="224">
        <f t="shared" si="6"/>
        <v>0</v>
      </c>
      <c r="R30" s="224">
        <f t="shared" si="6"/>
        <v>0</v>
      </c>
      <c r="S30" s="224">
        <f t="shared" si="6"/>
        <v>0</v>
      </c>
      <c r="T30" s="224">
        <f t="shared" si="6"/>
        <v>0</v>
      </c>
      <c r="U30" s="224">
        <f t="shared" si="6"/>
        <v>0</v>
      </c>
      <c r="V30" s="224">
        <f t="shared" si="6"/>
        <v>0</v>
      </c>
      <c r="W30" s="224">
        <f t="shared" si="6"/>
        <v>0</v>
      </c>
      <c r="X30" s="224">
        <f t="shared" si="6"/>
        <v>0</v>
      </c>
      <c r="Y30" s="224">
        <f t="shared" si="6"/>
        <v>0</v>
      </c>
      <c r="Z30" s="224">
        <f t="shared" si="6"/>
        <v>0</v>
      </c>
      <c r="AA30" s="224">
        <f t="shared" si="6"/>
        <v>0</v>
      </c>
      <c r="AB30" s="224">
        <f t="shared" si="6"/>
        <v>0</v>
      </c>
      <c r="AC30" s="224">
        <f t="shared" si="6"/>
        <v>0</v>
      </c>
      <c r="AD30" s="224">
        <f t="shared" si="6"/>
        <v>0</v>
      </c>
      <c r="AE30" s="224">
        <f t="shared" si="6"/>
        <v>0</v>
      </c>
      <c r="AF30" s="224">
        <f t="shared" si="6"/>
        <v>0</v>
      </c>
      <c r="AG30" s="224">
        <f t="shared" si="6"/>
        <v>0</v>
      </c>
      <c r="AH30" s="224">
        <f t="shared" si="6"/>
        <v>0</v>
      </c>
      <c r="AI30" s="224">
        <f t="shared" si="6"/>
        <v>0</v>
      </c>
      <c r="AJ30" s="224">
        <f t="shared" si="6"/>
        <v>0</v>
      </c>
      <c r="AK30" s="224">
        <f t="shared" si="6"/>
        <v>0</v>
      </c>
      <c r="AL30" s="224">
        <f t="shared" si="6"/>
        <v>0</v>
      </c>
      <c r="AM30" s="224">
        <f t="shared" si="6"/>
        <v>0</v>
      </c>
      <c r="AN30" s="224">
        <f t="shared" si="6"/>
        <v>0</v>
      </c>
      <c r="AO30" s="224">
        <f t="shared" si="6"/>
        <v>0</v>
      </c>
      <c r="AP30" s="224">
        <f t="shared" si="6"/>
        <v>0</v>
      </c>
      <c r="AQ30" s="224">
        <f t="shared" si="6"/>
        <v>0</v>
      </c>
      <c r="AR30" s="224">
        <f t="shared" si="6"/>
        <v>0</v>
      </c>
      <c r="AS30" s="224">
        <f t="shared" si="6"/>
        <v>0</v>
      </c>
    </row>
    <row r="31" spans="1:45" hidden="1" outlineLevel="1">
      <c r="A31" s="14"/>
      <c r="B31" s="20" t="str">
        <f>'Input - Option 2 Detailed Input'!C32</f>
        <v xml:space="preserve">[Additional Costs #2] </v>
      </c>
      <c r="C31" s="30">
        <f>'Input - Option 2 Detailed Input'!F32</f>
        <v>0</v>
      </c>
      <c r="H31" s="343">
        <f t="shared" ref="H31:H39" si="7">SUM(J31:EJ31)</f>
        <v>0</v>
      </c>
      <c r="I31" s="211"/>
      <c r="J31" s="224">
        <f t="shared" ref="J31:Y39" si="8">-IF(AND(J$3&gt;=$C$10,J$3&lt;=$D$10),($C31*J$4),)</f>
        <v>0</v>
      </c>
      <c r="K31" s="224">
        <f t="shared" si="8"/>
        <v>0</v>
      </c>
      <c r="L31" s="224">
        <f t="shared" si="8"/>
        <v>0</v>
      </c>
      <c r="M31" s="224">
        <f t="shared" si="8"/>
        <v>0</v>
      </c>
      <c r="N31" s="224">
        <f t="shared" si="8"/>
        <v>0</v>
      </c>
      <c r="O31" s="224">
        <f t="shared" si="8"/>
        <v>0</v>
      </c>
      <c r="P31" s="224">
        <f t="shared" si="8"/>
        <v>0</v>
      </c>
      <c r="Q31" s="224">
        <f t="shared" si="8"/>
        <v>0</v>
      </c>
      <c r="R31" s="224">
        <f t="shared" si="8"/>
        <v>0</v>
      </c>
      <c r="S31" s="224">
        <f t="shared" si="8"/>
        <v>0</v>
      </c>
      <c r="T31" s="224">
        <f t="shared" si="8"/>
        <v>0</v>
      </c>
      <c r="U31" s="224">
        <f t="shared" si="8"/>
        <v>0</v>
      </c>
      <c r="V31" s="224">
        <f t="shared" si="8"/>
        <v>0</v>
      </c>
      <c r="W31" s="224">
        <f t="shared" si="8"/>
        <v>0</v>
      </c>
      <c r="X31" s="224">
        <f t="shared" si="8"/>
        <v>0</v>
      </c>
      <c r="Y31" s="224">
        <f t="shared" si="8"/>
        <v>0</v>
      </c>
      <c r="Z31" s="224">
        <f t="shared" si="6"/>
        <v>0</v>
      </c>
      <c r="AA31" s="224">
        <f t="shared" si="6"/>
        <v>0</v>
      </c>
      <c r="AB31" s="224">
        <f t="shared" si="6"/>
        <v>0</v>
      </c>
      <c r="AC31" s="224">
        <f t="shared" si="6"/>
        <v>0</v>
      </c>
      <c r="AD31" s="224">
        <f t="shared" si="6"/>
        <v>0</v>
      </c>
      <c r="AE31" s="224">
        <f t="shared" si="6"/>
        <v>0</v>
      </c>
      <c r="AF31" s="224">
        <f t="shared" si="6"/>
        <v>0</v>
      </c>
      <c r="AG31" s="224">
        <f t="shared" si="6"/>
        <v>0</v>
      </c>
      <c r="AH31" s="224">
        <f t="shared" si="6"/>
        <v>0</v>
      </c>
      <c r="AI31" s="224">
        <f t="shared" si="6"/>
        <v>0</v>
      </c>
      <c r="AJ31" s="224">
        <f t="shared" si="6"/>
        <v>0</v>
      </c>
      <c r="AK31" s="224">
        <f t="shared" si="6"/>
        <v>0</v>
      </c>
      <c r="AL31" s="224">
        <f t="shared" si="6"/>
        <v>0</v>
      </c>
      <c r="AM31" s="224">
        <f t="shared" si="6"/>
        <v>0</v>
      </c>
      <c r="AN31" s="224">
        <f t="shared" si="6"/>
        <v>0</v>
      </c>
      <c r="AO31" s="224">
        <f t="shared" si="6"/>
        <v>0</v>
      </c>
      <c r="AP31" s="224">
        <f t="shared" si="6"/>
        <v>0</v>
      </c>
      <c r="AQ31" s="224">
        <f t="shared" si="6"/>
        <v>0</v>
      </c>
      <c r="AR31" s="224">
        <f t="shared" si="6"/>
        <v>0</v>
      </c>
      <c r="AS31" s="224">
        <f t="shared" si="6"/>
        <v>0</v>
      </c>
    </row>
    <row r="32" spans="1:45" hidden="1" outlineLevel="1">
      <c r="A32" s="14"/>
      <c r="B32" s="20" t="str">
        <f>'Input - Option 2 Detailed Input'!C33</f>
        <v xml:space="preserve">[Additional Costs #3] </v>
      </c>
      <c r="C32" s="30">
        <f>'Input - Option 2 Detailed Input'!F33</f>
        <v>0</v>
      </c>
      <c r="H32" s="343">
        <f t="shared" si="7"/>
        <v>0</v>
      </c>
      <c r="I32" s="211"/>
      <c r="J32" s="224">
        <f t="shared" si="8"/>
        <v>0</v>
      </c>
      <c r="K32" s="224">
        <f t="shared" si="6"/>
        <v>0</v>
      </c>
      <c r="L32" s="224">
        <f t="shared" si="6"/>
        <v>0</v>
      </c>
      <c r="M32" s="224">
        <f t="shared" si="6"/>
        <v>0</v>
      </c>
      <c r="N32" s="224">
        <f t="shared" si="6"/>
        <v>0</v>
      </c>
      <c r="O32" s="224">
        <f t="shared" si="6"/>
        <v>0</v>
      </c>
      <c r="P32" s="224">
        <f t="shared" si="6"/>
        <v>0</v>
      </c>
      <c r="Q32" s="224">
        <f t="shared" si="6"/>
        <v>0</v>
      </c>
      <c r="R32" s="224">
        <f t="shared" si="6"/>
        <v>0</v>
      </c>
      <c r="S32" s="224">
        <f t="shared" si="6"/>
        <v>0</v>
      </c>
      <c r="T32" s="224">
        <f t="shared" si="6"/>
        <v>0</v>
      </c>
      <c r="U32" s="224">
        <f t="shared" si="6"/>
        <v>0</v>
      </c>
      <c r="V32" s="224">
        <f t="shared" si="6"/>
        <v>0</v>
      </c>
      <c r="W32" s="224">
        <f t="shared" si="6"/>
        <v>0</v>
      </c>
      <c r="X32" s="224">
        <f t="shared" si="6"/>
        <v>0</v>
      </c>
      <c r="Y32" s="224">
        <f t="shared" si="6"/>
        <v>0</v>
      </c>
      <c r="Z32" s="224">
        <f t="shared" si="6"/>
        <v>0</v>
      </c>
      <c r="AA32" s="224">
        <f t="shared" si="6"/>
        <v>0</v>
      </c>
      <c r="AB32" s="224">
        <f t="shared" si="6"/>
        <v>0</v>
      </c>
      <c r="AC32" s="224">
        <f t="shared" si="6"/>
        <v>0</v>
      </c>
      <c r="AD32" s="224">
        <f t="shared" si="6"/>
        <v>0</v>
      </c>
      <c r="AE32" s="224">
        <f t="shared" si="6"/>
        <v>0</v>
      </c>
      <c r="AF32" s="224">
        <f t="shared" si="6"/>
        <v>0</v>
      </c>
      <c r="AG32" s="224">
        <f t="shared" si="6"/>
        <v>0</v>
      </c>
      <c r="AH32" s="224">
        <f t="shared" si="6"/>
        <v>0</v>
      </c>
      <c r="AI32" s="224">
        <f t="shared" si="6"/>
        <v>0</v>
      </c>
      <c r="AJ32" s="224">
        <f t="shared" si="6"/>
        <v>0</v>
      </c>
      <c r="AK32" s="224">
        <f t="shared" si="6"/>
        <v>0</v>
      </c>
      <c r="AL32" s="224">
        <f t="shared" si="6"/>
        <v>0</v>
      </c>
      <c r="AM32" s="224">
        <f t="shared" si="6"/>
        <v>0</v>
      </c>
      <c r="AN32" s="224">
        <f t="shared" si="6"/>
        <v>0</v>
      </c>
      <c r="AO32" s="224">
        <f t="shared" si="6"/>
        <v>0</v>
      </c>
      <c r="AP32" s="224">
        <f t="shared" si="6"/>
        <v>0</v>
      </c>
      <c r="AQ32" s="224">
        <f t="shared" si="6"/>
        <v>0</v>
      </c>
      <c r="AR32" s="224">
        <f t="shared" si="6"/>
        <v>0</v>
      </c>
      <c r="AS32" s="224">
        <f t="shared" si="6"/>
        <v>0</v>
      </c>
    </row>
    <row r="33" spans="1:140" hidden="1" outlineLevel="1">
      <c r="A33" s="14"/>
      <c r="B33" s="20" t="str">
        <f>'Input - Option 2 Detailed Input'!C34</f>
        <v xml:space="preserve">[Additional Costs #4] </v>
      </c>
      <c r="C33" s="30">
        <f>'Input - Option 2 Detailed Input'!F34</f>
        <v>0</v>
      </c>
      <c r="H33" s="343">
        <f t="shared" si="7"/>
        <v>0</v>
      </c>
      <c r="I33" s="211"/>
      <c r="J33" s="224">
        <f t="shared" si="8"/>
        <v>0</v>
      </c>
      <c r="K33" s="224">
        <f t="shared" si="6"/>
        <v>0</v>
      </c>
      <c r="L33" s="224">
        <f t="shared" si="6"/>
        <v>0</v>
      </c>
      <c r="M33" s="224">
        <f t="shared" si="6"/>
        <v>0</v>
      </c>
      <c r="N33" s="224">
        <f t="shared" si="6"/>
        <v>0</v>
      </c>
      <c r="O33" s="224">
        <f t="shared" si="6"/>
        <v>0</v>
      </c>
      <c r="P33" s="224">
        <f t="shared" si="6"/>
        <v>0</v>
      </c>
      <c r="Q33" s="224">
        <f t="shared" si="6"/>
        <v>0</v>
      </c>
      <c r="R33" s="224">
        <f t="shared" si="6"/>
        <v>0</v>
      </c>
      <c r="S33" s="224">
        <f t="shared" si="6"/>
        <v>0</v>
      </c>
      <c r="T33" s="224">
        <f t="shared" si="6"/>
        <v>0</v>
      </c>
      <c r="U33" s="224">
        <f t="shared" si="6"/>
        <v>0</v>
      </c>
      <c r="V33" s="224">
        <f t="shared" si="6"/>
        <v>0</v>
      </c>
      <c r="W33" s="224">
        <f t="shared" si="6"/>
        <v>0</v>
      </c>
      <c r="X33" s="224">
        <f t="shared" si="6"/>
        <v>0</v>
      </c>
      <c r="Y33" s="224">
        <f t="shared" si="6"/>
        <v>0</v>
      </c>
      <c r="Z33" s="224">
        <f t="shared" si="6"/>
        <v>0</v>
      </c>
      <c r="AA33" s="224">
        <f t="shared" si="6"/>
        <v>0</v>
      </c>
      <c r="AB33" s="224">
        <f t="shared" si="6"/>
        <v>0</v>
      </c>
      <c r="AC33" s="224">
        <f t="shared" si="6"/>
        <v>0</v>
      </c>
      <c r="AD33" s="224">
        <f t="shared" si="6"/>
        <v>0</v>
      </c>
      <c r="AE33" s="224">
        <f t="shared" si="6"/>
        <v>0</v>
      </c>
      <c r="AF33" s="224">
        <f t="shared" si="6"/>
        <v>0</v>
      </c>
      <c r="AG33" s="224">
        <f t="shared" si="6"/>
        <v>0</v>
      </c>
      <c r="AH33" s="224">
        <f t="shared" si="6"/>
        <v>0</v>
      </c>
      <c r="AI33" s="224">
        <f t="shared" si="6"/>
        <v>0</v>
      </c>
      <c r="AJ33" s="224">
        <f t="shared" si="6"/>
        <v>0</v>
      </c>
      <c r="AK33" s="224">
        <f t="shared" si="6"/>
        <v>0</v>
      </c>
      <c r="AL33" s="224">
        <f t="shared" si="6"/>
        <v>0</v>
      </c>
      <c r="AM33" s="224">
        <f t="shared" si="6"/>
        <v>0</v>
      </c>
      <c r="AN33" s="224">
        <f t="shared" si="6"/>
        <v>0</v>
      </c>
      <c r="AO33" s="224">
        <f t="shared" si="6"/>
        <v>0</v>
      </c>
      <c r="AP33" s="224">
        <f t="shared" si="6"/>
        <v>0</v>
      </c>
      <c r="AQ33" s="224">
        <f t="shared" si="6"/>
        <v>0</v>
      </c>
      <c r="AR33" s="224">
        <f t="shared" si="6"/>
        <v>0</v>
      </c>
      <c r="AS33" s="224">
        <f t="shared" si="6"/>
        <v>0</v>
      </c>
    </row>
    <row r="34" spans="1:140" hidden="1" outlineLevel="1">
      <c r="A34" s="14"/>
      <c r="B34" s="20" t="str">
        <f>'Input - Option 2 Detailed Input'!C35</f>
        <v xml:space="preserve">[Additional Costs #5] </v>
      </c>
      <c r="C34" s="30">
        <f>'Input - Option 2 Detailed Input'!F35</f>
        <v>0</v>
      </c>
      <c r="H34" s="343">
        <f t="shared" si="7"/>
        <v>0</v>
      </c>
      <c r="I34" s="211"/>
      <c r="J34" s="224">
        <f t="shared" si="8"/>
        <v>0</v>
      </c>
      <c r="K34" s="224">
        <f t="shared" si="6"/>
        <v>0</v>
      </c>
      <c r="L34" s="224">
        <f t="shared" si="6"/>
        <v>0</v>
      </c>
      <c r="M34" s="224">
        <f t="shared" si="6"/>
        <v>0</v>
      </c>
      <c r="N34" s="224">
        <f t="shared" si="6"/>
        <v>0</v>
      </c>
      <c r="O34" s="224">
        <f t="shared" si="6"/>
        <v>0</v>
      </c>
      <c r="P34" s="224">
        <f t="shared" si="6"/>
        <v>0</v>
      </c>
      <c r="Q34" s="224">
        <f t="shared" si="6"/>
        <v>0</v>
      </c>
      <c r="R34" s="224">
        <f t="shared" si="6"/>
        <v>0</v>
      </c>
      <c r="S34" s="224">
        <f t="shared" si="6"/>
        <v>0</v>
      </c>
      <c r="T34" s="224">
        <f t="shared" si="6"/>
        <v>0</v>
      </c>
      <c r="U34" s="224">
        <f t="shared" si="6"/>
        <v>0</v>
      </c>
      <c r="V34" s="224">
        <f t="shared" si="6"/>
        <v>0</v>
      </c>
      <c r="W34" s="224">
        <f t="shared" si="6"/>
        <v>0</v>
      </c>
      <c r="X34" s="224">
        <f t="shared" si="6"/>
        <v>0</v>
      </c>
      <c r="Y34" s="224">
        <f t="shared" si="6"/>
        <v>0</v>
      </c>
      <c r="Z34" s="224">
        <f t="shared" si="6"/>
        <v>0</v>
      </c>
      <c r="AA34" s="224">
        <f t="shared" si="6"/>
        <v>0</v>
      </c>
      <c r="AB34" s="224">
        <f t="shared" si="6"/>
        <v>0</v>
      </c>
      <c r="AC34" s="224">
        <f t="shared" si="6"/>
        <v>0</v>
      </c>
      <c r="AD34" s="224">
        <f t="shared" si="6"/>
        <v>0</v>
      </c>
      <c r="AE34" s="224">
        <f t="shared" si="6"/>
        <v>0</v>
      </c>
      <c r="AF34" s="224">
        <f t="shared" si="6"/>
        <v>0</v>
      </c>
      <c r="AG34" s="224">
        <f t="shared" si="6"/>
        <v>0</v>
      </c>
      <c r="AH34" s="224">
        <f t="shared" si="6"/>
        <v>0</v>
      </c>
      <c r="AI34" s="224">
        <f t="shared" si="6"/>
        <v>0</v>
      </c>
      <c r="AJ34" s="224">
        <f t="shared" si="6"/>
        <v>0</v>
      </c>
      <c r="AK34" s="224">
        <f t="shared" si="6"/>
        <v>0</v>
      </c>
      <c r="AL34" s="224">
        <f t="shared" si="6"/>
        <v>0</v>
      </c>
      <c r="AM34" s="224">
        <f t="shared" si="6"/>
        <v>0</v>
      </c>
      <c r="AN34" s="224">
        <f t="shared" si="6"/>
        <v>0</v>
      </c>
      <c r="AO34" s="224">
        <f t="shared" si="6"/>
        <v>0</v>
      </c>
      <c r="AP34" s="224">
        <f t="shared" si="6"/>
        <v>0</v>
      </c>
      <c r="AQ34" s="224">
        <f t="shared" si="6"/>
        <v>0</v>
      </c>
      <c r="AR34" s="224">
        <f t="shared" si="6"/>
        <v>0</v>
      </c>
      <c r="AS34" s="224">
        <f t="shared" si="6"/>
        <v>0</v>
      </c>
    </row>
    <row r="35" spans="1:140" hidden="1" outlineLevel="1">
      <c r="A35" s="14"/>
      <c r="B35" s="20" t="str">
        <f>'Input - Option 2 Detailed Input'!C36</f>
        <v xml:space="preserve">[Additional Costs #6] </v>
      </c>
      <c r="C35" s="30">
        <f>'Input - Option 2 Detailed Input'!F36</f>
        <v>0</v>
      </c>
      <c r="H35" s="343">
        <f t="shared" si="7"/>
        <v>0</v>
      </c>
      <c r="I35" s="211"/>
      <c r="J35" s="224">
        <f t="shared" si="8"/>
        <v>0</v>
      </c>
      <c r="K35" s="224">
        <f t="shared" si="6"/>
        <v>0</v>
      </c>
      <c r="L35" s="224">
        <f t="shared" si="6"/>
        <v>0</v>
      </c>
      <c r="M35" s="224">
        <f t="shared" si="6"/>
        <v>0</v>
      </c>
      <c r="N35" s="224">
        <f t="shared" si="6"/>
        <v>0</v>
      </c>
      <c r="O35" s="224">
        <f t="shared" si="6"/>
        <v>0</v>
      </c>
      <c r="P35" s="224">
        <f t="shared" si="6"/>
        <v>0</v>
      </c>
      <c r="Q35" s="224">
        <f t="shared" si="6"/>
        <v>0</v>
      </c>
      <c r="R35" s="224">
        <f t="shared" si="6"/>
        <v>0</v>
      </c>
      <c r="S35" s="224">
        <f t="shared" si="6"/>
        <v>0</v>
      </c>
      <c r="T35" s="224">
        <f t="shared" si="6"/>
        <v>0</v>
      </c>
      <c r="U35" s="224">
        <f t="shared" si="6"/>
        <v>0</v>
      </c>
      <c r="V35" s="224">
        <f t="shared" si="6"/>
        <v>0</v>
      </c>
      <c r="W35" s="224">
        <f t="shared" si="6"/>
        <v>0</v>
      </c>
      <c r="X35" s="224">
        <f t="shared" si="6"/>
        <v>0</v>
      </c>
      <c r="Y35" s="224">
        <f t="shared" si="6"/>
        <v>0</v>
      </c>
      <c r="Z35" s="224">
        <f t="shared" si="6"/>
        <v>0</v>
      </c>
      <c r="AA35" s="224">
        <f t="shared" si="6"/>
        <v>0</v>
      </c>
      <c r="AB35" s="224">
        <f t="shared" si="6"/>
        <v>0</v>
      </c>
      <c r="AC35" s="224">
        <f t="shared" si="6"/>
        <v>0</v>
      </c>
      <c r="AD35" s="224">
        <f t="shared" si="6"/>
        <v>0</v>
      </c>
      <c r="AE35" s="224">
        <f t="shared" si="6"/>
        <v>0</v>
      </c>
      <c r="AF35" s="224">
        <f t="shared" si="6"/>
        <v>0</v>
      </c>
      <c r="AG35" s="224">
        <f t="shared" si="6"/>
        <v>0</v>
      </c>
      <c r="AH35" s="224">
        <f t="shared" si="6"/>
        <v>0</v>
      </c>
      <c r="AI35" s="224">
        <f t="shared" si="6"/>
        <v>0</v>
      </c>
      <c r="AJ35" s="224">
        <f t="shared" si="6"/>
        <v>0</v>
      </c>
      <c r="AK35" s="224">
        <f t="shared" si="6"/>
        <v>0</v>
      </c>
      <c r="AL35" s="224">
        <f t="shared" si="6"/>
        <v>0</v>
      </c>
      <c r="AM35" s="224">
        <f t="shared" si="6"/>
        <v>0</v>
      </c>
      <c r="AN35" s="224">
        <f t="shared" si="6"/>
        <v>0</v>
      </c>
      <c r="AO35" s="224">
        <f t="shared" si="6"/>
        <v>0</v>
      </c>
      <c r="AP35" s="224">
        <f t="shared" si="6"/>
        <v>0</v>
      </c>
      <c r="AQ35" s="224">
        <f t="shared" si="6"/>
        <v>0</v>
      </c>
      <c r="AR35" s="224">
        <f t="shared" si="6"/>
        <v>0</v>
      </c>
      <c r="AS35" s="224">
        <f t="shared" si="6"/>
        <v>0</v>
      </c>
    </row>
    <row r="36" spans="1:140" hidden="1" outlineLevel="1">
      <c r="A36" s="14"/>
      <c r="B36" s="20" t="str">
        <f>'Input - Option 2 Detailed Input'!C37</f>
        <v xml:space="preserve">[Additional Costs #7] </v>
      </c>
      <c r="C36" s="30">
        <f>'Input - Option 2 Detailed Input'!F37</f>
        <v>0</v>
      </c>
      <c r="H36" s="343">
        <f t="shared" si="7"/>
        <v>0</v>
      </c>
      <c r="I36" s="211"/>
      <c r="J36" s="224">
        <f t="shared" si="8"/>
        <v>0</v>
      </c>
      <c r="K36" s="224">
        <f t="shared" si="6"/>
        <v>0</v>
      </c>
      <c r="L36" s="224">
        <f t="shared" si="6"/>
        <v>0</v>
      </c>
      <c r="M36" s="224">
        <f t="shared" si="6"/>
        <v>0</v>
      </c>
      <c r="N36" s="224">
        <f t="shared" si="6"/>
        <v>0</v>
      </c>
      <c r="O36" s="224">
        <f t="shared" si="6"/>
        <v>0</v>
      </c>
      <c r="P36" s="224">
        <f t="shared" si="6"/>
        <v>0</v>
      </c>
      <c r="Q36" s="224">
        <f t="shared" si="6"/>
        <v>0</v>
      </c>
      <c r="R36" s="224">
        <f t="shared" si="6"/>
        <v>0</v>
      </c>
      <c r="S36" s="224">
        <f t="shared" si="6"/>
        <v>0</v>
      </c>
      <c r="T36" s="224">
        <f t="shared" si="6"/>
        <v>0</v>
      </c>
      <c r="U36" s="224">
        <f t="shared" si="6"/>
        <v>0</v>
      </c>
      <c r="V36" s="224">
        <f t="shared" si="6"/>
        <v>0</v>
      </c>
      <c r="W36" s="224">
        <f t="shared" si="6"/>
        <v>0</v>
      </c>
      <c r="X36" s="224">
        <f t="shared" si="6"/>
        <v>0</v>
      </c>
      <c r="Y36" s="224">
        <f t="shared" si="6"/>
        <v>0</v>
      </c>
      <c r="Z36" s="224">
        <f t="shared" si="6"/>
        <v>0</v>
      </c>
      <c r="AA36" s="224">
        <f t="shared" si="6"/>
        <v>0</v>
      </c>
      <c r="AB36" s="224">
        <f t="shared" si="6"/>
        <v>0</v>
      </c>
      <c r="AC36" s="224">
        <f t="shared" si="6"/>
        <v>0</v>
      </c>
      <c r="AD36" s="224">
        <f t="shared" si="6"/>
        <v>0</v>
      </c>
      <c r="AE36" s="224">
        <f t="shared" si="6"/>
        <v>0</v>
      </c>
      <c r="AF36" s="224">
        <f t="shared" si="6"/>
        <v>0</v>
      </c>
      <c r="AG36" s="224">
        <f t="shared" si="6"/>
        <v>0</v>
      </c>
      <c r="AH36" s="224">
        <f t="shared" si="6"/>
        <v>0</v>
      </c>
      <c r="AI36" s="224">
        <f t="shared" si="6"/>
        <v>0</v>
      </c>
      <c r="AJ36" s="224">
        <f t="shared" si="6"/>
        <v>0</v>
      </c>
      <c r="AK36" s="224">
        <f t="shared" si="6"/>
        <v>0</v>
      </c>
      <c r="AL36" s="224">
        <f t="shared" si="6"/>
        <v>0</v>
      </c>
      <c r="AM36" s="224">
        <f t="shared" si="6"/>
        <v>0</v>
      </c>
      <c r="AN36" s="224">
        <f t="shared" si="6"/>
        <v>0</v>
      </c>
      <c r="AO36" s="224">
        <f t="shared" si="6"/>
        <v>0</v>
      </c>
      <c r="AP36" s="224">
        <f t="shared" si="6"/>
        <v>0</v>
      </c>
      <c r="AQ36" s="224">
        <f t="shared" si="6"/>
        <v>0</v>
      </c>
      <c r="AR36" s="224">
        <f t="shared" si="6"/>
        <v>0</v>
      </c>
      <c r="AS36" s="224">
        <f t="shared" si="6"/>
        <v>0</v>
      </c>
    </row>
    <row r="37" spans="1:140" hidden="1" outlineLevel="1">
      <c r="A37" s="14"/>
      <c r="B37" s="20" t="str">
        <f>'Input - Option 2 Detailed Input'!C38</f>
        <v xml:space="preserve">[Additional Costs #8] </v>
      </c>
      <c r="C37" s="30">
        <f>'Input - Option 2 Detailed Input'!F38</f>
        <v>0</v>
      </c>
      <c r="H37" s="343">
        <f t="shared" si="7"/>
        <v>0</v>
      </c>
      <c r="I37" s="211"/>
      <c r="J37" s="224">
        <f t="shared" si="8"/>
        <v>0</v>
      </c>
      <c r="K37" s="224">
        <f t="shared" si="6"/>
        <v>0</v>
      </c>
      <c r="L37" s="224">
        <f t="shared" si="6"/>
        <v>0</v>
      </c>
      <c r="M37" s="224">
        <f t="shared" si="6"/>
        <v>0</v>
      </c>
      <c r="N37" s="224">
        <f t="shared" si="6"/>
        <v>0</v>
      </c>
      <c r="O37" s="224">
        <f t="shared" si="6"/>
        <v>0</v>
      </c>
      <c r="P37" s="224">
        <f t="shared" si="6"/>
        <v>0</v>
      </c>
      <c r="Q37" s="224">
        <f t="shared" si="6"/>
        <v>0</v>
      </c>
      <c r="R37" s="224">
        <f t="shared" si="6"/>
        <v>0</v>
      </c>
      <c r="S37" s="224">
        <f t="shared" si="6"/>
        <v>0</v>
      </c>
      <c r="T37" s="224">
        <f t="shared" si="6"/>
        <v>0</v>
      </c>
      <c r="U37" s="224">
        <f t="shared" si="6"/>
        <v>0</v>
      </c>
      <c r="V37" s="224">
        <f t="shared" si="6"/>
        <v>0</v>
      </c>
      <c r="W37" s="224">
        <f t="shared" si="6"/>
        <v>0</v>
      </c>
      <c r="X37" s="224">
        <f t="shared" si="6"/>
        <v>0</v>
      </c>
      <c r="Y37" s="224">
        <f t="shared" si="6"/>
        <v>0</v>
      </c>
      <c r="Z37" s="224">
        <f t="shared" si="6"/>
        <v>0</v>
      </c>
      <c r="AA37" s="224">
        <f t="shared" si="6"/>
        <v>0</v>
      </c>
      <c r="AB37" s="224">
        <f t="shared" si="6"/>
        <v>0</v>
      </c>
      <c r="AC37" s="224">
        <f t="shared" si="6"/>
        <v>0</v>
      </c>
      <c r="AD37" s="224">
        <f t="shared" si="6"/>
        <v>0</v>
      </c>
      <c r="AE37" s="224">
        <f t="shared" si="6"/>
        <v>0</v>
      </c>
      <c r="AF37" s="224">
        <f t="shared" si="6"/>
        <v>0</v>
      </c>
      <c r="AG37" s="224">
        <f t="shared" si="6"/>
        <v>0</v>
      </c>
      <c r="AH37" s="224">
        <f t="shared" si="6"/>
        <v>0</v>
      </c>
      <c r="AI37" s="224">
        <f t="shared" si="6"/>
        <v>0</v>
      </c>
      <c r="AJ37" s="224">
        <f t="shared" ref="K37:AS39" si="9">-IF(AND(AJ$3&gt;=$C$10,AJ$3&lt;=$D$10),($C37*AJ$4),)</f>
        <v>0</v>
      </c>
      <c r="AK37" s="224">
        <f t="shared" si="9"/>
        <v>0</v>
      </c>
      <c r="AL37" s="224">
        <f t="shared" si="9"/>
        <v>0</v>
      </c>
      <c r="AM37" s="224">
        <f t="shared" si="9"/>
        <v>0</v>
      </c>
      <c r="AN37" s="224">
        <f t="shared" si="9"/>
        <v>0</v>
      </c>
      <c r="AO37" s="224">
        <f t="shared" si="9"/>
        <v>0</v>
      </c>
      <c r="AP37" s="224">
        <f t="shared" si="9"/>
        <v>0</v>
      </c>
      <c r="AQ37" s="224">
        <f t="shared" si="9"/>
        <v>0</v>
      </c>
      <c r="AR37" s="224">
        <f t="shared" si="9"/>
        <v>0</v>
      </c>
      <c r="AS37" s="224">
        <f t="shared" si="9"/>
        <v>0</v>
      </c>
    </row>
    <row r="38" spans="1:140" hidden="1" outlineLevel="1">
      <c r="A38" s="14"/>
      <c r="B38" s="20" t="str">
        <f>'Input - Option 2 Detailed Input'!C39</f>
        <v xml:space="preserve">[Additional Costs #9] </v>
      </c>
      <c r="C38" s="30">
        <f>'Input - Option 2 Detailed Input'!F39</f>
        <v>0</v>
      </c>
      <c r="H38" s="343">
        <f t="shared" si="7"/>
        <v>0</v>
      </c>
      <c r="I38" s="211"/>
      <c r="J38" s="224">
        <f t="shared" si="8"/>
        <v>0</v>
      </c>
      <c r="K38" s="224">
        <f t="shared" si="9"/>
        <v>0</v>
      </c>
      <c r="L38" s="224">
        <f t="shared" si="9"/>
        <v>0</v>
      </c>
      <c r="M38" s="224">
        <f t="shared" si="9"/>
        <v>0</v>
      </c>
      <c r="N38" s="224">
        <f t="shared" si="9"/>
        <v>0</v>
      </c>
      <c r="O38" s="224">
        <f t="shared" si="9"/>
        <v>0</v>
      </c>
      <c r="P38" s="224">
        <f t="shared" si="9"/>
        <v>0</v>
      </c>
      <c r="Q38" s="224">
        <f t="shared" si="9"/>
        <v>0</v>
      </c>
      <c r="R38" s="224">
        <f t="shared" si="9"/>
        <v>0</v>
      </c>
      <c r="S38" s="224">
        <f t="shared" si="9"/>
        <v>0</v>
      </c>
      <c r="T38" s="224">
        <f t="shared" si="9"/>
        <v>0</v>
      </c>
      <c r="U38" s="224">
        <f t="shared" si="9"/>
        <v>0</v>
      </c>
      <c r="V38" s="224">
        <f t="shared" si="9"/>
        <v>0</v>
      </c>
      <c r="W38" s="224">
        <f t="shared" si="9"/>
        <v>0</v>
      </c>
      <c r="X38" s="224">
        <f t="shared" si="9"/>
        <v>0</v>
      </c>
      <c r="Y38" s="224">
        <f t="shared" si="9"/>
        <v>0</v>
      </c>
      <c r="Z38" s="224">
        <f t="shared" si="9"/>
        <v>0</v>
      </c>
      <c r="AA38" s="224">
        <f t="shared" si="9"/>
        <v>0</v>
      </c>
      <c r="AB38" s="224">
        <f t="shared" si="9"/>
        <v>0</v>
      </c>
      <c r="AC38" s="224">
        <f t="shared" si="9"/>
        <v>0</v>
      </c>
      <c r="AD38" s="224">
        <f t="shared" si="9"/>
        <v>0</v>
      </c>
      <c r="AE38" s="224">
        <f t="shared" si="9"/>
        <v>0</v>
      </c>
      <c r="AF38" s="224">
        <f t="shared" si="9"/>
        <v>0</v>
      </c>
      <c r="AG38" s="224">
        <f t="shared" si="9"/>
        <v>0</v>
      </c>
      <c r="AH38" s="224">
        <f t="shared" si="9"/>
        <v>0</v>
      </c>
      <c r="AI38" s="224">
        <f t="shared" si="9"/>
        <v>0</v>
      </c>
      <c r="AJ38" s="224">
        <f t="shared" si="9"/>
        <v>0</v>
      </c>
      <c r="AK38" s="224">
        <f t="shared" si="9"/>
        <v>0</v>
      </c>
      <c r="AL38" s="224">
        <f t="shared" si="9"/>
        <v>0</v>
      </c>
      <c r="AM38" s="224">
        <f t="shared" si="9"/>
        <v>0</v>
      </c>
      <c r="AN38" s="224">
        <f t="shared" si="9"/>
        <v>0</v>
      </c>
      <c r="AO38" s="224">
        <f t="shared" si="9"/>
        <v>0</v>
      </c>
      <c r="AP38" s="224">
        <f t="shared" si="9"/>
        <v>0</v>
      </c>
      <c r="AQ38" s="224">
        <f t="shared" si="9"/>
        <v>0</v>
      </c>
      <c r="AR38" s="224">
        <f t="shared" si="9"/>
        <v>0</v>
      </c>
      <c r="AS38" s="224">
        <f t="shared" si="9"/>
        <v>0</v>
      </c>
    </row>
    <row r="39" spans="1:140" hidden="1" outlineLevel="1">
      <c r="A39" s="14"/>
      <c r="B39" s="20" t="str">
        <f>'Input - Option 2 Detailed Input'!C40</f>
        <v xml:space="preserve">[Additional Costs #10] </v>
      </c>
      <c r="C39" s="30">
        <f>'Input - Option 2 Detailed Input'!F40</f>
        <v>0</v>
      </c>
      <c r="H39" s="343">
        <f t="shared" si="7"/>
        <v>0</v>
      </c>
      <c r="I39" s="211"/>
      <c r="J39" s="224">
        <f t="shared" si="8"/>
        <v>0</v>
      </c>
      <c r="K39" s="224">
        <f t="shared" si="9"/>
        <v>0</v>
      </c>
      <c r="L39" s="224">
        <f t="shared" si="9"/>
        <v>0</v>
      </c>
      <c r="M39" s="224">
        <f t="shared" si="9"/>
        <v>0</v>
      </c>
      <c r="N39" s="224">
        <f t="shared" si="9"/>
        <v>0</v>
      </c>
      <c r="O39" s="224">
        <f t="shared" si="9"/>
        <v>0</v>
      </c>
      <c r="P39" s="224">
        <f t="shared" si="9"/>
        <v>0</v>
      </c>
      <c r="Q39" s="224">
        <f t="shared" si="9"/>
        <v>0</v>
      </c>
      <c r="R39" s="224">
        <f t="shared" si="9"/>
        <v>0</v>
      </c>
      <c r="S39" s="224">
        <f t="shared" si="9"/>
        <v>0</v>
      </c>
      <c r="T39" s="224">
        <f t="shared" si="9"/>
        <v>0</v>
      </c>
      <c r="U39" s="224">
        <f t="shared" si="9"/>
        <v>0</v>
      </c>
      <c r="V39" s="224">
        <f t="shared" si="9"/>
        <v>0</v>
      </c>
      <c r="W39" s="224">
        <f t="shared" si="9"/>
        <v>0</v>
      </c>
      <c r="X39" s="224">
        <f t="shared" si="9"/>
        <v>0</v>
      </c>
      <c r="Y39" s="224">
        <f t="shared" si="9"/>
        <v>0</v>
      </c>
      <c r="Z39" s="224">
        <f t="shared" si="9"/>
        <v>0</v>
      </c>
      <c r="AA39" s="224">
        <f t="shared" si="9"/>
        <v>0</v>
      </c>
      <c r="AB39" s="224">
        <f t="shared" si="9"/>
        <v>0</v>
      </c>
      <c r="AC39" s="224">
        <f t="shared" si="9"/>
        <v>0</v>
      </c>
      <c r="AD39" s="224">
        <f t="shared" si="9"/>
        <v>0</v>
      </c>
      <c r="AE39" s="224">
        <f t="shared" si="9"/>
        <v>0</v>
      </c>
      <c r="AF39" s="224">
        <f t="shared" si="9"/>
        <v>0</v>
      </c>
      <c r="AG39" s="224">
        <f t="shared" si="9"/>
        <v>0</v>
      </c>
      <c r="AH39" s="224">
        <f t="shared" si="9"/>
        <v>0</v>
      </c>
      <c r="AI39" s="224">
        <f t="shared" si="9"/>
        <v>0</v>
      </c>
      <c r="AJ39" s="224">
        <f t="shared" si="9"/>
        <v>0</v>
      </c>
      <c r="AK39" s="224">
        <f t="shared" si="9"/>
        <v>0</v>
      </c>
      <c r="AL39" s="224">
        <f t="shared" si="9"/>
        <v>0</v>
      </c>
      <c r="AM39" s="224">
        <f t="shared" si="9"/>
        <v>0</v>
      </c>
      <c r="AN39" s="224">
        <f t="shared" si="9"/>
        <v>0</v>
      </c>
      <c r="AO39" s="224">
        <f t="shared" si="9"/>
        <v>0</v>
      </c>
      <c r="AP39" s="224">
        <f t="shared" si="9"/>
        <v>0</v>
      </c>
      <c r="AQ39" s="224">
        <f t="shared" si="9"/>
        <v>0</v>
      </c>
      <c r="AR39" s="224">
        <f t="shared" si="9"/>
        <v>0</v>
      </c>
      <c r="AS39" s="224">
        <f t="shared" si="9"/>
        <v>0</v>
      </c>
    </row>
    <row r="40" spans="1:140" hidden="1" outlineLevel="1">
      <c r="A40" s="14"/>
      <c r="H40" s="35"/>
      <c r="I40" s="213"/>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row>
    <row r="41" spans="1:140" hidden="1" outlineLevel="1">
      <c r="A41" s="15"/>
      <c r="B41" s="454" t="s">
        <v>306</v>
      </c>
      <c r="C41" s="454"/>
      <c r="D41" s="454"/>
      <c r="E41" s="454"/>
      <c r="F41" s="454"/>
      <c r="G41" s="455"/>
      <c r="H41" s="259">
        <f>SUM(H13:H27,H30:H39)</f>
        <v>0</v>
      </c>
      <c r="I41" s="214"/>
      <c r="J41" s="225">
        <f>SUM(J13:J27,J30:J39)</f>
        <v>0</v>
      </c>
      <c r="K41" s="225">
        <f t="shared" ref="K41:AS41" si="10">SUM(K13:K27,K30:K39)</f>
        <v>0</v>
      </c>
      <c r="L41" s="225">
        <f t="shared" si="10"/>
        <v>0</v>
      </c>
      <c r="M41" s="225">
        <f t="shared" si="10"/>
        <v>0</v>
      </c>
      <c r="N41" s="225">
        <f t="shared" si="10"/>
        <v>0</v>
      </c>
      <c r="O41" s="225">
        <f t="shared" si="10"/>
        <v>0</v>
      </c>
      <c r="P41" s="225">
        <f t="shared" si="10"/>
        <v>0</v>
      </c>
      <c r="Q41" s="225">
        <f t="shared" si="10"/>
        <v>0</v>
      </c>
      <c r="R41" s="225">
        <f t="shared" si="10"/>
        <v>0</v>
      </c>
      <c r="S41" s="225">
        <f t="shared" si="10"/>
        <v>0</v>
      </c>
      <c r="T41" s="225">
        <f t="shared" si="10"/>
        <v>0</v>
      </c>
      <c r="U41" s="225">
        <f t="shared" si="10"/>
        <v>0</v>
      </c>
      <c r="V41" s="225">
        <f t="shared" si="10"/>
        <v>0</v>
      </c>
      <c r="W41" s="225">
        <f t="shared" si="10"/>
        <v>0</v>
      </c>
      <c r="X41" s="225">
        <f t="shared" si="10"/>
        <v>0</v>
      </c>
      <c r="Y41" s="225">
        <f t="shared" si="10"/>
        <v>0</v>
      </c>
      <c r="Z41" s="225">
        <f t="shared" si="10"/>
        <v>0</v>
      </c>
      <c r="AA41" s="225">
        <f t="shared" si="10"/>
        <v>0</v>
      </c>
      <c r="AB41" s="225">
        <f t="shared" si="10"/>
        <v>0</v>
      </c>
      <c r="AC41" s="225">
        <f t="shared" si="10"/>
        <v>0</v>
      </c>
      <c r="AD41" s="225">
        <f t="shared" si="10"/>
        <v>0</v>
      </c>
      <c r="AE41" s="225">
        <f t="shared" si="10"/>
        <v>0</v>
      </c>
      <c r="AF41" s="225">
        <f t="shared" si="10"/>
        <v>0</v>
      </c>
      <c r="AG41" s="225">
        <f t="shared" si="10"/>
        <v>0</v>
      </c>
      <c r="AH41" s="225">
        <f t="shared" si="10"/>
        <v>0</v>
      </c>
      <c r="AI41" s="225">
        <f t="shared" si="10"/>
        <v>0</v>
      </c>
      <c r="AJ41" s="225">
        <f t="shared" si="10"/>
        <v>0</v>
      </c>
      <c r="AK41" s="225">
        <f t="shared" si="10"/>
        <v>0</v>
      </c>
      <c r="AL41" s="225">
        <f t="shared" si="10"/>
        <v>0</v>
      </c>
      <c r="AM41" s="225">
        <f t="shared" si="10"/>
        <v>0</v>
      </c>
      <c r="AN41" s="225">
        <f t="shared" si="10"/>
        <v>0</v>
      </c>
      <c r="AO41" s="225">
        <f t="shared" si="10"/>
        <v>0</v>
      </c>
      <c r="AP41" s="225">
        <f t="shared" si="10"/>
        <v>0</v>
      </c>
      <c r="AQ41" s="225">
        <f t="shared" si="10"/>
        <v>0</v>
      </c>
      <c r="AR41" s="225">
        <f t="shared" si="10"/>
        <v>0</v>
      </c>
      <c r="AS41" s="225">
        <f t="shared" si="10"/>
        <v>0</v>
      </c>
    </row>
    <row r="42" spans="1:140" collapsed="1">
      <c r="A42" s="3"/>
      <c r="B42" s="5"/>
      <c r="C42" s="5"/>
      <c r="D42" s="5"/>
      <c r="E42" s="5"/>
      <c r="F42" s="5"/>
      <c r="G42" s="5"/>
      <c r="H42" s="33"/>
      <c r="I42" s="5"/>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row>
    <row r="43" spans="1:140" s="294" customFormat="1" ht="23.45">
      <c r="A43" s="293"/>
      <c r="B43" s="295" t="str">
        <f>'Input - Option 2 Detailed Input'!C42</f>
        <v>2. Tree purchasing costs</v>
      </c>
      <c r="C43" s="296"/>
      <c r="D43" s="296"/>
      <c r="E43" s="296"/>
      <c r="F43" s="296"/>
      <c r="G43" s="296"/>
      <c r="H43" s="297"/>
      <c r="I43" s="296"/>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8"/>
      <c r="AP43" s="298"/>
      <c r="AQ43" s="298"/>
      <c r="AR43" s="298"/>
      <c r="AS43" s="298"/>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row>
    <row r="44" spans="1:140" hidden="1" outlineLevel="1">
      <c r="H44" s="34"/>
      <c r="I44" s="7"/>
    </row>
    <row r="45" spans="1:140" hidden="1" outlineLevel="1">
      <c r="A45" s="14"/>
      <c r="B45" s="5"/>
      <c r="C45" s="25" t="s">
        <v>94</v>
      </c>
      <c r="D45" s="25" t="s">
        <v>95</v>
      </c>
      <c r="E45" s="7"/>
      <c r="F45" s="7"/>
      <c r="G45" s="7"/>
      <c r="H45" s="34"/>
      <c r="I45" s="7"/>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row>
    <row r="46" spans="1:140" hidden="1" outlineLevel="1">
      <c r="A46" s="14"/>
      <c r="B46" s="20" t="s">
        <v>303</v>
      </c>
      <c r="C46" s="37" t="str">
        <f>IF(C3=C4,'Input - Option 2 Detailed Input'!D48,"-")</f>
        <v>-</v>
      </c>
      <c r="D46" s="37" t="str">
        <f>IF(C3=C4,'Input - Option 2 Detailed Input'!E48,"-")</f>
        <v>-</v>
      </c>
      <c r="F46" s="7"/>
      <c r="G46" s="7"/>
      <c r="H46" s="34"/>
      <c r="I46" s="7"/>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row>
    <row r="47" spans="1:140" hidden="1" outlineLevel="1">
      <c r="A47" s="14"/>
      <c r="E47" s="7"/>
      <c r="F47" s="7"/>
      <c r="G47" s="7"/>
      <c r="H47" s="17"/>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row>
    <row r="48" spans="1:140" hidden="1" outlineLevel="1">
      <c r="A48" s="14"/>
      <c r="B48" s="27" t="str">
        <f>'Input - Option 2 Detailed Input'!C50</f>
        <v>Tree Purchasing Costs</v>
      </c>
      <c r="E48" s="7"/>
      <c r="F48" s="7"/>
      <c r="G48" s="7"/>
      <c r="H48" s="17"/>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row>
    <row r="49" spans="1:140" hidden="1" outlineLevel="1">
      <c r="A49" s="14"/>
      <c r="B49" s="27" t="s">
        <v>301</v>
      </c>
      <c r="C49" s="276">
        <f>'Input - General and Overview'!C9</f>
        <v>0</v>
      </c>
      <c r="E49" s="7"/>
      <c r="F49" s="7"/>
      <c r="G49" s="7"/>
      <c r="H49" s="17"/>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row>
    <row r="50" spans="1:140" hidden="1" outlineLevel="1">
      <c r="A50" s="14"/>
      <c r="B50" s="27" t="str">
        <f>'Input - Option 2 Detailed Input'!C51</f>
        <v>Tree Purchasing Cost (per tree)</v>
      </c>
      <c r="C50" s="30">
        <f>'Input - Option 2 Detailed Input'!F51</f>
        <v>0</v>
      </c>
      <c r="E50" s="7"/>
      <c r="F50" s="7"/>
      <c r="G50" s="7"/>
      <c r="H50" s="343">
        <f>SUM(J50:EJ50)</f>
        <v>0</v>
      </c>
      <c r="I50" s="211"/>
      <c r="J50" s="224">
        <f>-IF(AND(J$3&gt;=$C46,J$3&lt;=$D46),$C$50*J$4,)</f>
        <v>0</v>
      </c>
      <c r="K50" s="224">
        <f t="shared" ref="K50:AS50" si="11">-IF(AND(K$3&gt;=$C46,K$3&lt;=$D46),$C$50*K$4,)</f>
        <v>0</v>
      </c>
      <c r="L50" s="224">
        <f t="shared" si="11"/>
        <v>0</v>
      </c>
      <c r="M50" s="224">
        <f t="shared" si="11"/>
        <v>0</v>
      </c>
      <c r="N50" s="224">
        <f t="shared" si="11"/>
        <v>0</v>
      </c>
      <c r="O50" s="224">
        <f t="shared" si="11"/>
        <v>0</v>
      </c>
      <c r="P50" s="224">
        <f t="shared" si="11"/>
        <v>0</v>
      </c>
      <c r="Q50" s="224">
        <f t="shared" si="11"/>
        <v>0</v>
      </c>
      <c r="R50" s="224">
        <f t="shared" si="11"/>
        <v>0</v>
      </c>
      <c r="S50" s="224">
        <f t="shared" si="11"/>
        <v>0</v>
      </c>
      <c r="T50" s="224">
        <f t="shared" si="11"/>
        <v>0</v>
      </c>
      <c r="U50" s="224">
        <f t="shared" si="11"/>
        <v>0</v>
      </c>
      <c r="V50" s="224">
        <f t="shared" si="11"/>
        <v>0</v>
      </c>
      <c r="W50" s="224">
        <f t="shared" si="11"/>
        <v>0</v>
      </c>
      <c r="X50" s="224">
        <f t="shared" si="11"/>
        <v>0</v>
      </c>
      <c r="Y50" s="224">
        <f t="shared" si="11"/>
        <v>0</v>
      </c>
      <c r="Z50" s="224">
        <f t="shared" si="11"/>
        <v>0</v>
      </c>
      <c r="AA50" s="224">
        <f t="shared" si="11"/>
        <v>0</v>
      </c>
      <c r="AB50" s="224">
        <f t="shared" si="11"/>
        <v>0</v>
      </c>
      <c r="AC50" s="224">
        <f t="shared" si="11"/>
        <v>0</v>
      </c>
      <c r="AD50" s="224">
        <f t="shared" si="11"/>
        <v>0</v>
      </c>
      <c r="AE50" s="224">
        <f t="shared" si="11"/>
        <v>0</v>
      </c>
      <c r="AF50" s="224">
        <f t="shared" si="11"/>
        <v>0</v>
      </c>
      <c r="AG50" s="224">
        <f t="shared" si="11"/>
        <v>0</v>
      </c>
      <c r="AH50" s="224">
        <f t="shared" si="11"/>
        <v>0</v>
      </c>
      <c r="AI50" s="224">
        <f t="shared" si="11"/>
        <v>0</v>
      </c>
      <c r="AJ50" s="224">
        <f t="shared" si="11"/>
        <v>0</v>
      </c>
      <c r="AK50" s="224">
        <f t="shared" si="11"/>
        <v>0</v>
      </c>
      <c r="AL50" s="224">
        <f t="shared" si="11"/>
        <v>0</v>
      </c>
      <c r="AM50" s="224">
        <f t="shared" si="11"/>
        <v>0</v>
      </c>
      <c r="AN50" s="224">
        <f t="shared" si="11"/>
        <v>0</v>
      </c>
      <c r="AO50" s="224">
        <f t="shared" si="11"/>
        <v>0</v>
      </c>
      <c r="AP50" s="224">
        <f t="shared" si="11"/>
        <v>0</v>
      </c>
      <c r="AQ50" s="224">
        <f t="shared" si="11"/>
        <v>0</v>
      </c>
      <c r="AR50" s="224">
        <f t="shared" si="11"/>
        <v>0</v>
      </c>
      <c r="AS50" s="224">
        <f t="shared" si="11"/>
        <v>0</v>
      </c>
    </row>
    <row r="51" spans="1:140" hidden="1" outlineLevel="1">
      <c r="A51" s="14"/>
      <c r="B51" s="27" t="str">
        <f>'Input - Option 2 Detailed Input'!C53</f>
        <v>Total Delivery Cost</v>
      </c>
      <c r="C51" s="30">
        <f>'Input - Option 2 Detailed Input'!F53</f>
        <v>0</v>
      </c>
      <c r="E51" s="7"/>
      <c r="F51" s="7"/>
      <c r="G51" s="7"/>
      <c r="H51" s="343">
        <f>SUM(J51:EJ51)</f>
        <v>0</v>
      </c>
      <c r="I51" s="211"/>
      <c r="J51" s="224">
        <f>-IF(AND(J$3&gt;=$C46,J$3&lt;=$D46),$C51*J$4,)</f>
        <v>0</v>
      </c>
      <c r="K51" s="224">
        <f t="shared" ref="K51:AS51" si="12">-IF(AND(K$3&gt;=$C46,K$3&lt;=$D46),$C51*K$4,)</f>
        <v>0</v>
      </c>
      <c r="L51" s="224">
        <f t="shared" si="12"/>
        <v>0</v>
      </c>
      <c r="M51" s="224">
        <f t="shared" si="12"/>
        <v>0</v>
      </c>
      <c r="N51" s="224">
        <f t="shared" si="12"/>
        <v>0</v>
      </c>
      <c r="O51" s="224">
        <f t="shared" si="12"/>
        <v>0</v>
      </c>
      <c r="P51" s="224">
        <f t="shared" si="12"/>
        <v>0</v>
      </c>
      <c r="Q51" s="224">
        <f t="shared" si="12"/>
        <v>0</v>
      </c>
      <c r="R51" s="224">
        <f t="shared" si="12"/>
        <v>0</v>
      </c>
      <c r="S51" s="224">
        <f t="shared" si="12"/>
        <v>0</v>
      </c>
      <c r="T51" s="224">
        <f t="shared" si="12"/>
        <v>0</v>
      </c>
      <c r="U51" s="224">
        <f t="shared" si="12"/>
        <v>0</v>
      </c>
      <c r="V51" s="224">
        <f t="shared" si="12"/>
        <v>0</v>
      </c>
      <c r="W51" s="224">
        <f t="shared" si="12"/>
        <v>0</v>
      </c>
      <c r="X51" s="224">
        <f t="shared" si="12"/>
        <v>0</v>
      </c>
      <c r="Y51" s="224">
        <f t="shared" si="12"/>
        <v>0</v>
      </c>
      <c r="Z51" s="224">
        <f t="shared" si="12"/>
        <v>0</v>
      </c>
      <c r="AA51" s="224">
        <f t="shared" si="12"/>
        <v>0</v>
      </c>
      <c r="AB51" s="224">
        <f t="shared" si="12"/>
        <v>0</v>
      </c>
      <c r="AC51" s="224">
        <f t="shared" si="12"/>
        <v>0</v>
      </c>
      <c r="AD51" s="224">
        <f t="shared" si="12"/>
        <v>0</v>
      </c>
      <c r="AE51" s="224">
        <f t="shared" si="12"/>
        <v>0</v>
      </c>
      <c r="AF51" s="224">
        <f t="shared" si="12"/>
        <v>0</v>
      </c>
      <c r="AG51" s="224">
        <f t="shared" si="12"/>
        <v>0</v>
      </c>
      <c r="AH51" s="224">
        <f t="shared" si="12"/>
        <v>0</v>
      </c>
      <c r="AI51" s="224">
        <f t="shared" si="12"/>
        <v>0</v>
      </c>
      <c r="AJ51" s="224">
        <f t="shared" si="12"/>
        <v>0</v>
      </c>
      <c r="AK51" s="224">
        <f t="shared" si="12"/>
        <v>0</v>
      </c>
      <c r="AL51" s="224">
        <f t="shared" si="12"/>
        <v>0</v>
      </c>
      <c r="AM51" s="224">
        <f t="shared" si="12"/>
        <v>0</v>
      </c>
      <c r="AN51" s="224">
        <f t="shared" si="12"/>
        <v>0</v>
      </c>
      <c r="AO51" s="224">
        <f t="shared" si="12"/>
        <v>0</v>
      </c>
      <c r="AP51" s="224">
        <f t="shared" si="12"/>
        <v>0</v>
      </c>
      <c r="AQ51" s="224">
        <f t="shared" si="12"/>
        <v>0</v>
      </c>
      <c r="AR51" s="224">
        <f t="shared" si="12"/>
        <v>0</v>
      </c>
      <c r="AS51" s="224">
        <f t="shared" si="12"/>
        <v>0</v>
      </c>
    </row>
    <row r="52" spans="1:140" hidden="1" outlineLevel="1">
      <c r="H52" s="17"/>
    </row>
    <row r="53" spans="1:140" hidden="1" outlineLevel="1">
      <c r="A53" s="15"/>
      <c r="B53" s="454" t="s">
        <v>307</v>
      </c>
      <c r="C53" s="454"/>
      <c r="D53" s="454"/>
      <c r="E53" s="454"/>
      <c r="F53" s="454"/>
      <c r="G53" s="455"/>
      <c r="H53" s="259">
        <f>SUM(H50,H51)</f>
        <v>0</v>
      </c>
      <c r="I53" s="215"/>
      <c r="J53" s="225">
        <f>SUM(J50,J51)</f>
        <v>0</v>
      </c>
      <c r="K53" s="225">
        <f t="shared" ref="K53:AS53" si="13">SUM(K50,K51)</f>
        <v>0</v>
      </c>
      <c r="L53" s="225">
        <f t="shared" si="13"/>
        <v>0</v>
      </c>
      <c r="M53" s="225">
        <f t="shared" si="13"/>
        <v>0</v>
      </c>
      <c r="N53" s="225">
        <f t="shared" si="13"/>
        <v>0</v>
      </c>
      <c r="O53" s="225">
        <f t="shared" si="13"/>
        <v>0</v>
      </c>
      <c r="P53" s="225">
        <f t="shared" si="13"/>
        <v>0</v>
      </c>
      <c r="Q53" s="225">
        <f t="shared" si="13"/>
        <v>0</v>
      </c>
      <c r="R53" s="225">
        <f t="shared" si="13"/>
        <v>0</v>
      </c>
      <c r="S53" s="225">
        <f t="shared" si="13"/>
        <v>0</v>
      </c>
      <c r="T53" s="225">
        <f t="shared" si="13"/>
        <v>0</v>
      </c>
      <c r="U53" s="225">
        <f t="shared" si="13"/>
        <v>0</v>
      </c>
      <c r="V53" s="225">
        <f t="shared" si="13"/>
        <v>0</v>
      </c>
      <c r="W53" s="225">
        <f t="shared" si="13"/>
        <v>0</v>
      </c>
      <c r="X53" s="225">
        <f t="shared" si="13"/>
        <v>0</v>
      </c>
      <c r="Y53" s="225">
        <f t="shared" si="13"/>
        <v>0</v>
      </c>
      <c r="Z53" s="225">
        <f t="shared" si="13"/>
        <v>0</v>
      </c>
      <c r="AA53" s="225">
        <f t="shared" si="13"/>
        <v>0</v>
      </c>
      <c r="AB53" s="225">
        <f t="shared" si="13"/>
        <v>0</v>
      </c>
      <c r="AC53" s="225">
        <f t="shared" si="13"/>
        <v>0</v>
      </c>
      <c r="AD53" s="225">
        <f t="shared" si="13"/>
        <v>0</v>
      </c>
      <c r="AE53" s="225">
        <f t="shared" si="13"/>
        <v>0</v>
      </c>
      <c r="AF53" s="225">
        <f t="shared" si="13"/>
        <v>0</v>
      </c>
      <c r="AG53" s="225">
        <f t="shared" si="13"/>
        <v>0</v>
      </c>
      <c r="AH53" s="225">
        <f t="shared" si="13"/>
        <v>0</v>
      </c>
      <c r="AI53" s="225">
        <f t="shared" si="13"/>
        <v>0</v>
      </c>
      <c r="AJ53" s="225">
        <f t="shared" si="13"/>
        <v>0</v>
      </c>
      <c r="AK53" s="225">
        <f t="shared" si="13"/>
        <v>0</v>
      </c>
      <c r="AL53" s="225">
        <f t="shared" si="13"/>
        <v>0</v>
      </c>
      <c r="AM53" s="225">
        <f t="shared" si="13"/>
        <v>0</v>
      </c>
      <c r="AN53" s="225">
        <f t="shared" si="13"/>
        <v>0</v>
      </c>
      <c r="AO53" s="225">
        <f t="shared" si="13"/>
        <v>0</v>
      </c>
      <c r="AP53" s="225">
        <f t="shared" si="13"/>
        <v>0</v>
      </c>
      <c r="AQ53" s="225">
        <f t="shared" si="13"/>
        <v>0</v>
      </c>
      <c r="AR53" s="225">
        <f t="shared" si="13"/>
        <v>0</v>
      </c>
      <c r="AS53" s="225">
        <f t="shared" si="13"/>
        <v>0</v>
      </c>
    </row>
    <row r="54" spans="1:140" collapsed="1">
      <c r="B54" s="5"/>
      <c r="C54" s="5"/>
      <c r="D54" s="5"/>
      <c r="E54" s="5"/>
      <c r="F54" s="5"/>
      <c r="G54" s="5"/>
      <c r="H54" s="33"/>
      <c r="I54" s="5"/>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row>
    <row r="55" spans="1:140" s="294" customFormat="1" ht="23.45">
      <c r="A55" s="4"/>
      <c r="B55" s="295" t="str">
        <f>'Input - Option 2 Detailed Input'!C56</f>
        <v>3. Tree planting costs</v>
      </c>
      <c r="C55" s="296"/>
      <c r="D55" s="296"/>
      <c r="E55" s="296"/>
      <c r="F55" s="296"/>
      <c r="G55" s="296"/>
      <c r="H55" s="297"/>
      <c r="I55" s="296"/>
      <c r="J55" s="298"/>
      <c r="K55" s="298"/>
      <c r="L55" s="298"/>
      <c r="M55" s="298"/>
      <c r="N55" s="298"/>
      <c r="O55" s="298"/>
      <c r="P55" s="298"/>
      <c r="Q55" s="298"/>
      <c r="R55" s="298"/>
      <c r="S55" s="298"/>
      <c r="T55" s="298"/>
      <c r="U55" s="298"/>
      <c r="V55" s="298"/>
      <c r="W55" s="298"/>
      <c r="X55" s="298"/>
      <c r="Y55" s="298"/>
      <c r="Z55" s="298"/>
      <c r="AA55" s="298"/>
      <c r="AB55" s="298"/>
      <c r="AC55" s="298"/>
      <c r="AD55" s="298"/>
      <c r="AE55" s="298"/>
      <c r="AF55" s="298"/>
      <c r="AG55" s="298"/>
      <c r="AH55" s="298"/>
      <c r="AI55" s="298"/>
      <c r="AJ55" s="298"/>
      <c r="AK55" s="298"/>
      <c r="AL55" s="298"/>
      <c r="AM55" s="298"/>
      <c r="AN55" s="298"/>
      <c r="AO55" s="298"/>
      <c r="AP55" s="298"/>
      <c r="AQ55" s="298"/>
      <c r="AR55" s="298"/>
      <c r="AS55" s="298"/>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row>
    <row r="56" spans="1:140" hidden="1" outlineLevel="1">
      <c r="H56" s="17"/>
    </row>
    <row r="57" spans="1:140" hidden="1" outlineLevel="1">
      <c r="C57" s="25" t="str">
        <f>'Input - Option 2 Detailed Input'!D61</f>
        <v>Costs Start In</v>
      </c>
      <c r="D57" s="25" t="str">
        <f>'Input - Option 2 Detailed Input'!E61</f>
        <v>Costs End In</v>
      </c>
      <c r="H57" s="33"/>
      <c r="I57" s="5"/>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row>
    <row r="58" spans="1:140" hidden="1" outlineLevel="1">
      <c r="B58" s="20" t="str">
        <f>'Input - Option 2 Detailed Input'!C62</f>
        <v>Costs Incurred in Year</v>
      </c>
      <c r="C58" s="241" t="str">
        <f>IF(C3=C4,'Input - Option 2 Detailed Input'!D62,"-")</f>
        <v>-</v>
      </c>
      <c r="D58" s="241" t="str">
        <f>IF(C3=C4,'Input - Option 2 Detailed Input'!E62,"-")</f>
        <v>-</v>
      </c>
      <c r="H58" s="33"/>
      <c r="I58" s="5"/>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row>
    <row r="59" spans="1:140" hidden="1" outlineLevel="1">
      <c r="B59" s="20" t="s">
        <v>308</v>
      </c>
      <c r="C59" s="241" t="str">
        <f>'Input - Option 2 Detailed Input'!E65</f>
        <v>Soft Landscape</v>
      </c>
      <c r="H59" s="33"/>
      <c r="I59" s="5"/>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row>
    <row r="60" spans="1:140" hidden="1" outlineLevel="1">
      <c r="H60" s="33"/>
      <c r="I60" s="5"/>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row>
    <row r="61" spans="1:140" hidden="1" outlineLevel="1">
      <c r="B61" s="49" t="str">
        <f>'Input - Option 2 Detailed Input'!C67</f>
        <v>Highway Access Costs</v>
      </c>
      <c r="C61" s="40" t="str">
        <f>+'Input - Option 2 Detailed Input'!G67</f>
        <v>Total Costs excl. inflation</v>
      </c>
      <c r="H61" s="33"/>
      <c r="I61" s="5"/>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row>
    <row r="62" spans="1:140" hidden="1" outlineLevel="1">
      <c r="B62" s="38" t="str">
        <f>'Input - Option 2 Detailed Input'!C68</f>
        <v>Highway Access Labour Cost</v>
      </c>
      <c r="C62" s="30">
        <f>'Input - Option 2 Detailed Input'!G68</f>
        <v>0</v>
      </c>
      <c r="H62" s="343">
        <f t="shared" ref="H62:H69" si="14">SUM(J62:EJ62)</f>
        <v>0</v>
      </c>
      <c r="I62" s="211"/>
      <c r="J62" s="224">
        <f>-IF(AND(J$3&gt;=$C$58,J$3&lt;=$D$58),$C62*J$4,)</f>
        <v>0</v>
      </c>
      <c r="K62" s="224">
        <f t="shared" ref="K62:AS69" si="15">-IF(AND(K$3&gt;=$C$58,K$3&lt;=$D$58),$C62*K$4,)</f>
        <v>0</v>
      </c>
      <c r="L62" s="224">
        <f t="shared" si="15"/>
        <v>0</v>
      </c>
      <c r="M62" s="224">
        <f t="shared" si="15"/>
        <v>0</v>
      </c>
      <c r="N62" s="224">
        <f t="shared" si="15"/>
        <v>0</v>
      </c>
      <c r="O62" s="224">
        <f t="shared" si="15"/>
        <v>0</v>
      </c>
      <c r="P62" s="224">
        <f t="shared" si="15"/>
        <v>0</v>
      </c>
      <c r="Q62" s="224">
        <f t="shared" si="15"/>
        <v>0</v>
      </c>
      <c r="R62" s="224">
        <f t="shared" si="15"/>
        <v>0</v>
      </c>
      <c r="S62" s="224">
        <f t="shared" si="15"/>
        <v>0</v>
      </c>
      <c r="T62" s="224">
        <f t="shared" si="15"/>
        <v>0</v>
      </c>
      <c r="U62" s="224">
        <f t="shared" si="15"/>
        <v>0</v>
      </c>
      <c r="V62" s="224">
        <f t="shared" si="15"/>
        <v>0</v>
      </c>
      <c r="W62" s="224">
        <f t="shared" si="15"/>
        <v>0</v>
      </c>
      <c r="X62" s="224">
        <f t="shared" si="15"/>
        <v>0</v>
      </c>
      <c r="Y62" s="224">
        <f t="shared" si="15"/>
        <v>0</v>
      </c>
      <c r="Z62" s="224">
        <f t="shared" si="15"/>
        <v>0</v>
      </c>
      <c r="AA62" s="224">
        <f t="shared" si="15"/>
        <v>0</v>
      </c>
      <c r="AB62" s="224">
        <f t="shared" si="15"/>
        <v>0</v>
      </c>
      <c r="AC62" s="224">
        <f t="shared" si="15"/>
        <v>0</v>
      </c>
      <c r="AD62" s="224">
        <f t="shared" si="15"/>
        <v>0</v>
      </c>
      <c r="AE62" s="224">
        <f t="shared" si="15"/>
        <v>0</v>
      </c>
      <c r="AF62" s="224">
        <f t="shared" si="15"/>
        <v>0</v>
      </c>
      <c r="AG62" s="224">
        <f t="shared" si="15"/>
        <v>0</v>
      </c>
      <c r="AH62" s="224">
        <f t="shared" si="15"/>
        <v>0</v>
      </c>
      <c r="AI62" s="224">
        <f t="shared" si="15"/>
        <v>0</v>
      </c>
      <c r="AJ62" s="224">
        <f t="shared" si="15"/>
        <v>0</v>
      </c>
      <c r="AK62" s="224">
        <f t="shared" si="15"/>
        <v>0</v>
      </c>
      <c r="AL62" s="224">
        <f t="shared" si="15"/>
        <v>0</v>
      </c>
      <c r="AM62" s="224">
        <f t="shared" si="15"/>
        <v>0</v>
      </c>
      <c r="AN62" s="224">
        <f t="shared" si="15"/>
        <v>0</v>
      </c>
      <c r="AO62" s="224">
        <f t="shared" si="15"/>
        <v>0</v>
      </c>
      <c r="AP62" s="224">
        <f t="shared" si="15"/>
        <v>0</v>
      </c>
      <c r="AQ62" s="224">
        <f t="shared" si="15"/>
        <v>0</v>
      </c>
      <c r="AR62" s="224">
        <f t="shared" si="15"/>
        <v>0</v>
      </c>
      <c r="AS62" s="224">
        <f t="shared" si="15"/>
        <v>0</v>
      </c>
    </row>
    <row r="63" spans="1:140" hidden="1" outlineLevel="1">
      <c r="B63" s="38" t="str">
        <f>'Input - Option 2 Detailed Input'!C70</f>
        <v>Overheads</v>
      </c>
      <c r="C63" s="30">
        <f>'Input - Option 2 Detailed Input'!G70</f>
        <v>0</v>
      </c>
      <c r="H63" s="343">
        <f t="shared" si="14"/>
        <v>0</v>
      </c>
      <c r="I63" s="211"/>
      <c r="J63" s="224">
        <f t="shared" ref="J63:Y69" si="16">-IF(AND(J$3&gt;=$C$58,J$3&lt;=$D$58),$C63*J$4,)</f>
        <v>0</v>
      </c>
      <c r="K63" s="224">
        <f t="shared" si="16"/>
        <v>0</v>
      </c>
      <c r="L63" s="224">
        <f t="shared" si="16"/>
        <v>0</v>
      </c>
      <c r="M63" s="224">
        <f t="shared" si="16"/>
        <v>0</v>
      </c>
      <c r="N63" s="224">
        <f t="shared" si="16"/>
        <v>0</v>
      </c>
      <c r="O63" s="224">
        <f t="shared" si="16"/>
        <v>0</v>
      </c>
      <c r="P63" s="224">
        <f t="shared" si="16"/>
        <v>0</v>
      </c>
      <c r="Q63" s="224">
        <f t="shared" si="16"/>
        <v>0</v>
      </c>
      <c r="R63" s="224">
        <f t="shared" si="16"/>
        <v>0</v>
      </c>
      <c r="S63" s="224">
        <f t="shared" si="16"/>
        <v>0</v>
      </c>
      <c r="T63" s="224">
        <f t="shared" si="16"/>
        <v>0</v>
      </c>
      <c r="U63" s="224">
        <f t="shared" si="16"/>
        <v>0</v>
      </c>
      <c r="V63" s="224">
        <f t="shared" si="16"/>
        <v>0</v>
      </c>
      <c r="W63" s="224">
        <f t="shared" si="16"/>
        <v>0</v>
      </c>
      <c r="X63" s="224">
        <f t="shared" si="16"/>
        <v>0</v>
      </c>
      <c r="Y63" s="224">
        <f t="shared" si="16"/>
        <v>0</v>
      </c>
      <c r="Z63" s="224">
        <f t="shared" si="15"/>
        <v>0</v>
      </c>
      <c r="AA63" s="224">
        <f t="shared" si="15"/>
        <v>0</v>
      </c>
      <c r="AB63" s="224">
        <f t="shared" si="15"/>
        <v>0</v>
      </c>
      <c r="AC63" s="224">
        <f t="shared" si="15"/>
        <v>0</v>
      </c>
      <c r="AD63" s="224">
        <f t="shared" si="15"/>
        <v>0</v>
      </c>
      <c r="AE63" s="224">
        <f t="shared" si="15"/>
        <v>0</v>
      </c>
      <c r="AF63" s="224">
        <f t="shared" si="15"/>
        <v>0</v>
      </c>
      <c r="AG63" s="224">
        <f t="shared" si="15"/>
        <v>0</v>
      </c>
      <c r="AH63" s="224">
        <f t="shared" si="15"/>
        <v>0</v>
      </c>
      <c r="AI63" s="224">
        <f t="shared" si="15"/>
        <v>0</v>
      </c>
      <c r="AJ63" s="224">
        <f t="shared" si="15"/>
        <v>0</v>
      </c>
      <c r="AK63" s="224">
        <f t="shared" si="15"/>
        <v>0</v>
      </c>
      <c r="AL63" s="224">
        <f t="shared" si="15"/>
        <v>0</v>
      </c>
      <c r="AM63" s="224">
        <f t="shared" si="15"/>
        <v>0</v>
      </c>
      <c r="AN63" s="224">
        <f t="shared" si="15"/>
        <v>0</v>
      </c>
      <c r="AO63" s="224">
        <f t="shared" si="15"/>
        <v>0</v>
      </c>
      <c r="AP63" s="224">
        <f t="shared" si="15"/>
        <v>0</v>
      </c>
      <c r="AQ63" s="224">
        <f t="shared" si="15"/>
        <v>0</v>
      </c>
      <c r="AR63" s="224">
        <f t="shared" si="15"/>
        <v>0</v>
      </c>
      <c r="AS63" s="224">
        <f t="shared" si="15"/>
        <v>0</v>
      </c>
    </row>
    <row r="64" spans="1:140" hidden="1" outlineLevel="1">
      <c r="B64" s="38" t="str">
        <f>'Input - Option 2 Detailed Input'!C71</f>
        <v>Traffic Management Licensing and Permit Fees</v>
      </c>
      <c r="C64" s="30">
        <f>'Input - Option 2 Detailed Input'!G71</f>
        <v>0</v>
      </c>
      <c r="H64" s="343">
        <f t="shared" si="14"/>
        <v>0</v>
      </c>
      <c r="I64" s="211"/>
      <c r="J64" s="224">
        <f t="shared" si="16"/>
        <v>0</v>
      </c>
      <c r="K64" s="224">
        <f t="shared" si="15"/>
        <v>0</v>
      </c>
      <c r="L64" s="224">
        <f t="shared" si="15"/>
        <v>0</v>
      </c>
      <c r="M64" s="224">
        <f t="shared" si="15"/>
        <v>0</v>
      </c>
      <c r="N64" s="224">
        <f t="shared" si="15"/>
        <v>0</v>
      </c>
      <c r="O64" s="224">
        <f t="shared" si="15"/>
        <v>0</v>
      </c>
      <c r="P64" s="224">
        <f t="shared" si="15"/>
        <v>0</v>
      </c>
      <c r="Q64" s="224">
        <f t="shared" si="15"/>
        <v>0</v>
      </c>
      <c r="R64" s="224">
        <f t="shared" si="15"/>
        <v>0</v>
      </c>
      <c r="S64" s="224">
        <f t="shared" si="15"/>
        <v>0</v>
      </c>
      <c r="T64" s="224">
        <f t="shared" si="15"/>
        <v>0</v>
      </c>
      <c r="U64" s="224">
        <f t="shared" si="15"/>
        <v>0</v>
      </c>
      <c r="V64" s="224">
        <f t="shared" si="15"/>
        <v>0</v>
      </c>
      <c r="W64" s="224">
        <f t="shared" si="15"/>
        <v>0</v>
      </c>
      <c r="X64" s="224">
        <f t="shared" si="15"/>
        <v>0</v>
      </c>
      <c r="Y64" s="224">
        <f t="shared" si="15"/>
        <v>0</v>
      </c>
      <c r="Z64" s="224">
        <f t="shared" si="15"/>
        <v>0</v>
      </c>
      <c r="AA64" s="224">
        <f t="shared" si="15"/>
        <v>0</v>
      </c>
      <c r="AB64" s="224">
        <f t="shared" si="15"/>
        <v>0</v>
      </c>
      <c r="AC64" s="224">
        <f t="shared" si="15"/>
        <v>0</v>
      </c>
      <c r="AD64" s="224">
        <f t="shared" si="15"/>
        <v>0</v>
      </c>
      <c r="AE64" s="224">
        <f t="shared" si="15"/>
        <v>0</v>
      </c>
      <c r="AF64" s="224">
        <f t="shared" si="15"/>
        <v>0</v>
      </c>
      <c r="AG64" s="224">
        <f t="shared" si="15"/>
        <v>0</v>
      </c>
      <c r="AH64" s="224">
        <f t="shared" si="15"/>
        <v>0</v>
      </c>
      <c r="AI64" s="224">
        <f t="shared" si="15"/>
        <v>0</v>
      </c>
      <c r="AJ64" s="224">
        <f t="shared" si="15"/>
        <v>0</v>
      </c>
      <c r="AK64" s="224">
        <f t="shared" si="15"/>
        <v>0</v>
      </c>
      <c r="AL64" s="224">
        <f t="shared" si="15"/>
        <v>0</v>
      </c>
      <c r="AM64" s="224">
        <f t="shared" si="15"/>
        <v>0</v>
      </c>
      <c r="AN64" s="224">
        <f t="shared" si="15"/>
        <v>0</v>
      </c>
      <c r="AO64" s="224">
        <f t="shared" si="15"/>
        <v>0</v>
      </c>
      <c r="AP64" s="224">
        <f t="shared" si="15"/>
        <v>0</v>
      </c>
      <c r="AQ64" s="224">
        <f t="shared" si="15"/>
        <v>0</v>
      </c>
      <c r="AR64" s="224">
        <f t="shared" si="15"/>
        <v>0</v>
      </c>
      <c r="AS64" s="224">
        <f t="shared" si="15"/>
        <v>0</v>
      </c>
    </row>
    <row r="65" spans="2:45" hidden="1" outlineLevel="1">
      <c r="B65" s="38" t="str">
        <f>'Input - Option 2 Detailed Input'!C72</f>
        <v>Utility Checks (e.g. for Street Verges)</v>
      </c>
      <c r="C65" s="30">
        <f>'Input - Option 2 Detailed Input'!G72</f>
        <v>0</v>
      </c>
      <c r="D65" s="48"/>
      <c r="H65" s="343">
        <f t="shared" si="14"/>
        <v>0</v>
      </c>
      <c r="I65" s="211"/>
      <c r="J65" s="224">
        <f t="shared" si="16"/>
        <v>0</v>
      </c>
      <c r="K65" s="224">
        <f t="shared" si="15"/>
        <v>0</v>
      </c>
      <c r="L65" s="224">
        <f t="shared" si="15"/>
        <v>0</v>
      </c>
      <c r="M65" s="224">
        <f t="shared" si="15"/>
        <v>0</v>
      </c>
      <c r="N65" s="224">
        <f t="shared" si="15"/>
        <v>0</v>
      </c>
      <c r="O65" s="224">
        <f t="shared" si="15"/>
        <v>0</v>
      </c>
      <c r="P65" s="224">
        <f t="shared" si="15"/>
        <v>0</v>
      </c>
      <c r="Q65" s="224">
        <f t="shared" si="15"/>
        <v>0</v>
      </c>
      <c r="R65" s="224">
        <f t="shared" si="15"/>
        <v>0</v>
      </c>
      <c r="S65" s="224">
        <f t="shared" si="15"/>
        <v>0</v>
      </c>
      <c r="T65" s="224">
        <f t="shared" si="15"/>
        <v>0</v>
      </c>
      <c r="U65" s="224">
        <f t="shared" si="15"/>
        <v>0</v>
      </c>
      <c r="V65" s="224">
        <f t="shared" si="15"/>
        <v>0</v>
      </c>
      <c r="W65" s="224">
        <f t="shared" si="15"/>
        <v>0</v>
      </c>
      <c r="X65" s="224">
        <f t="shared" si="15"/>
        <v>0</v>
      </c>
      <c r="Y65" s="224">
        <f t="shared" si="15"/>
        <v>0</v>
      </c>
      <c r="Z65" s="224">
        <f t="shared" si="15"/>
        <v>0</v>
      </c>
      <c r="AA65" s="224">
        <f t="shared" si="15"/>
        <v>0</v>
      </c>
      <c r="AB65" s="224">
        <f t="shared" si="15"/>
        <v>0</v>
      </c>
      <c r="AC65" s="224">
        <f t="shared" si="15"/>
        <v>0</v>
      </c>
      <c r="AD65" s="224">
        <f t="shared" si="15"/>
        <v>0</v>
      </c>
      <c r="AE65" s="224">
        <f t="shared" si="15"/>
        <v>0</v>
      </c>
      <c r="AF65" s="224">
        <f t="shared" si="15"/>
        <v>0</v>
      </c>
      <c r="AG65" s="224">
        <f t="shared" si="15"/>
        <v>0</v>
      </c>
      <c r="AH65" s="224">
        <f t="shared" si="15"/>
        <v>0</v>
      </c>
      <c r="AI65" s="224">
        <f t="shared" si="15"/>
        <v>0</v>
      </c>
      <c r="AJ65" s="224">
        <f t="shared" si="15"/>
        <v>0</v>
      </c>
      <c r="AK65" s="224">
        <f t="shared" si="15"/>
        <v>0</v>
      </c>
      <c r="AL65" s="224">
        <f t="shared" si="15"/>
        <v>0</v>
      </c>
      <c r="AM65" s="224">
        <f t="shared" si="15"/>
        <v>0</v>
      </c>
      <c r="AN65" s="224">
        <f t="shared" si="15"/>
        <v>0</v>
      </c>
      <c r="AO65" s="224">
        <f t="shared" si="15"/>
        <v>0</v>
      </c>
      <c r="AP65" s="224">
        <f t="shared" si="15"/>
        <v>0</v>
      </c>
      <c r="AQ65" s="224">
        <f t="shared" si="15"/>
        <v>0</v>
      </c>
      <c r="AR65" s="224">
        <f t="shared" si="15"/>
        <v>0</v>
      </c>
      <c r="AS65" s="224">
        <f t="shared" si="15"/>
        <v>0</v>
      </c>
    </row>
    <row r="66" spans="2:45" hidden="1" outlineLevel="1">
      <c r="B66" s="38" t="str">
        <f>'Input - Option 2 Detailed Input'!C73</f>
        <v>Controlled Parking Zone (CPZ) Costs</v>
      </c>
      <c r="C66" s="30">
        <f>'Input - Option 2 Detailed Input'!G73</f>
        <v>0</v>
      </c>
      <c r="H66" s="343">
        <f t="shared" si="14"/>
        <v>0</v>
      </c>
      <c r="I66" s="211"/>
      <c r="J66" s="224">
        <f t="shared" si="16"/>
        <v>0</v>
      </c>
      <c r="K66" s="224">
        <f t="shared" si="15"/>
        <v>0</v>
      </c>
      <c r="L66" s="224">
        <f t="shared" si="15"/>
        <v>0</v>
      </c>
      <c r="M66" s="224">
        <f t="shared" si="15"/>
        <v>0</v>
      </c>
      <c r="N66" s="224">
        <f t="shared" si="15"/>
        <v>0</v>
      </c>
      <c r="O66" s="224">
        <f t="shared" si="15"/>
        <v>0</v>
      </c>
      <c r="P66" s="224">
        <f t="shared" si="15"/>
        <v>0</v>
      </c>
      <c r="Q66" s="224">
        <f t="shared" si="15"/>
        <v>0</v>
      </c>
      <c r="R66" s="224">
        <f t="shared" si="15"/>
        <v>0</v>
      </c>
      <c r="S66" s="224">
        <f t="shared" si="15"/>
        <v>0</v>
      </c>
      <c r="T66" s="224">
        <f t="shared" si="15"/>
        <v>0</v>
      </c>
      <c r="U66" s="224">
        <f t="shared" si="15"/>
        <v>0</v>
      </c>
      <c r="V66" s="224">
        <f t="shared" si="15"/>
        <v>0</v>
      </c>
      <c r="W66" s="224">
        <f t="shared" si="15"/>
        <v>0</v>
      </c>
      <c r="X66" s="224">
        <f t="shared" si="15"/>
        <v>0</v>
      </c>
      <c r="Y66" s="224">
        <f t="shared" si="15"/>
        <v>0</v>
      </c>
      <c r="Z66" s="224">
        <f t="shared" si="15"/>
        <v>0</v>
      </c>
      <c r="AA66" s="224">
        <f t="shared" si="15"/>
        <v>0</v>
      </c>
      <c r="AB66" s="224">
        <f t="shared" si="15"/>
        <v>0</v>
      </c>
      <c r="AC66" s="224">
        <f t="shared" si="15"/>
        <v>0</v>
      </c>
      <c r="AD66" s="224">
        <f t="shared" si="15"/>
        <v>0</v>
      </c>
      <c r="AE66" s="224">
        <f t="shared" si="15"/>
        <v>0</v>
      </c>
      <c r="AF66" s="224">
        <f t="shared" si="15"/>
        <v>0</v>
      </c>
      <c r="AG66" s="224">
        <f t="shared" si="15"/>
        <v>0</v>
      </c>
      <c r="AH66" s="224">
        <f t="shared" si="15"/>
        <v>0</v>
      </c>
      <c r="AI66" s="224">
        <f t="shared" si="15"/>
        <v>0</v>
      </c>
      <c r="AJ66" s="224">
        <f t="shared" si="15"/>
        <v>0</v>
      </c>
      <c r="AK66" s="224">
        <f t="shared" si="15"/>
        <v>0</v>
      </c>
      <c r="AL66" s="224">
        <f t="shared" si="15"/>
        <v>0</v>
      </c>
      <c r="AM66" s="224">
        <f t="shared" si="15"/>
        <v>0</v>
      </c>
      <c r="AN66" s="224">
        <f t="shared" si="15"/>
        <v>0</v>
      </c>
      <c r="AO66" s="224">
        <f t="shared" si="15"/>
        <v>0</v>
      </c>
      <c r="AP66" s="224">
        <f t="shared" si="15"/>
        <v>0</v>
      </c>
      <c r="AQ66" s="224">
        <f t="shared" si="15"/>
        <v>0</v>
      </c>
      <c r="AR66" s="224">
        <f t="shared" si="15"/>
        <v>0</v>
      </c>
      <c r="AS66" s="224">
        <f t="shared" si="15"/>
        <v>0</v>
      </c>
    </row>
    <row r="67" spans="2:45" hidden="1" outlineLevel="1">
      <c r="B67" s="38" t="str">
        <f>'Input - Option 2 Detailed Input'!C74</f>
        <v xml:space="preserve">[Additional Costs #1] </v>
      </c>
      <c r="C67" s="30">
        <f>'Input - Option 2 Detailed Input'!G74</f>
        <v>0</v>
      </c>
      <c r="H67" s="343">
        <f t="shared" si="14"/>
        <v>0</v>
      </c>
      <c r="I67" s="211"/>
      <c r="J67" s="224">
        <f t="shared" si="16"/>
        <v>0</v>
      </c>
      <c r="K67" s="224">
        <f t="shared" si="15"/>
        <v>0</v>
      </c>
      <c r="L67" s="224">
        <f t="shared" si="15"/>
        <v>0</v>
      </c>
      <c r="M67" s="224">
        <f t="shared" si="15"/>
        <v>0</v>
      </c>
      <c r="N67" s="224">
        <f t="shared" si="15"/>
        <v>0</v>
      </c>
      <c r="O67" s="224">
        <f t="shared" si="15"/>
        <v>0</v>
      </c>
      <c r="P67" s="224">
        <f t="shared" si="15"/>
        <v>0</v>
      </c>
      <c r="Q67" s="224">
        <f t="shared" si="15"/>
        <v>0</v>
      </c>
      <c r="R67" s="224">
        <f t="shared" si="15"/>
        <v>0</v>
      </c>
      <c r="S67" s="224">
        <f t="shared" si="15"/>
        <v>0</v>
      </c>
      <c r="T67" s="224">
        <f t="shared" si="15"/>
        <v>0</v>
      </c>
      <c r="U67" s="224">
        <f t="shared" si="15"/>
        <v>0</v>
      </c>
      <c r="V67" s="224">
        <f t="shared" si="15"/>
        <v>0</v>
      </c>
      <c r="W67" s="224">
        <f t="shared" si="15"/>
        <v>0</v>
      </c>
      <c r="X67" s="224">
        <f t="shared" si="15"/>
        <v>0</v>
      </c>
      <c r="Y67" s="224">
        <f t="shared" si="15"/>
        <v>0</v>
      </c>
      <c r="Z67" s="224">
        <f t="shared" si="15"/>
        <v>0</v>
      </c>
      <c r="AA67" s="224">
        <f t="shared" si="15"/>
        <v>0</v>
      </c>
      <c r="AB67" s="224">
        <f t="shared" si="15"/>
        <v>0</v>
      </c>
      <c r="AC67" s="224">
        <f t="shared" si="15"/>
        <v>0</v>
      </c>
      <c r="AD67" s="224">
        <f t="shared" si="15"/>
        <v>0</v>
      </c>
      <c r="AE67" s="224">
        <f t="shared" si="15"/>
        <v>0</v>
      </c>
      <c r="AF67" s="224">
        <f t="shared" si="15"/>
        <v>0</v>
      </c>
      <c r="AG67" s="224">
        <f t="shared" si="15"/>
        <v>0</v>
      </c>
      <c r="AH67" s="224">
        <f t="shared" si="15"/>
        <v>0</v>
      </c>
      <c r="AI67" s="224">
        <f t="shared" si="15"/>
        <v>0</v>
      </c>
      <c r="AJ67" s="224">
        <f t="shared" si="15"/>
        <v>0</v>
      </c>
      <c r="AK67" s="224">
        <f t="shared" si="15"/>
        <v>0</v>
      </c>
      <c r="AL67" s="224">
        <f t="shared" si="15"/>
        <v>0</v>
      </c>
      <c r="AM67" s="224">
        <f t="shared" si="15"/>
        <v>0</v>
      </c>
      <c r="AN67" s="224">
        <f t="shared" si="15"/>
        <v>0</v>
      </c>
      <c r="AO67" s="224">
        <f t="shared" si="15"/>
        <v>0</v>
      </c>
      <c r="AP67" s="224">
        <f t="shared" si="15"/>
        <v>0</v>
      </c>
      <c r="AQ67" s="224">
        <f t="shared" si="15"/>
        <v>0</v>
      </c>
      <c r="AR67" s="224">
        <f t="shared" si="15"/>
        <v>0</v>
      </c>
      <c r="AS67" s="224">
        <f t="shared" si="15"/>
        <v>0</v>
      </c>
    </row>
    <row r="68" spans="2:45" hidden="1" outlineLevel="1">
      <c r="B68" s="38" t="str">
        <f>'Input - Option 2 Detailed Input'!C75</f>
        <v xml:space="preserve">[Additional Costs #2] </v>
      </c>
      <c r="C68" s="30">
        <f>'Input - Option 2 Detailed Input'!G75</f>
        <v>0</v>
      </c>
      <c r="H68" s="343">
        <f t="shared" si="14"/>
        <v>0</v>
      </c>
      <c r="I68" s="211"/>
      <c r="J68" s="224">
        <f t="shared" si="16"/>
        <v>0</v>
      </c>
      <c r="K68" s="224">
        <f t="shared" si="15"/>
        <v>0</v>
      </c>
      <c r="L68" s="224">
        <f t="shared" si="15"/>
        <v>0</v>
      </c>
      <c r="M68" s="224">
        <f t="shared" si="15"/>
        <v>0</v>
      </c>
      <c r="N68" s="224">
        <f t="shared" si="15"/>
        <v>0</v>
      </c>
      <c r="O68" s="224">
        <f t="shared" si="15"/>
        <v>0</v>
      </c>
      <c r="P68" s="224">
        <f t="shared" si="15"/>
        <v>0</v>
      </c>
      <c r="Q68" s="224">
        <f t="shared" si="15"/>
        <v>0</v>
      </c>
      <c r="R68" s="224">
        <f t="shared" si="15"/>
        <v>0</v>
      </c>
      <c r="S68" s="224">
        <f t="shared" si="15"/>
        <v>0</v>
      </c>
      <c r="T68" s="224">
        <f t="shared" si="15"/>
        <v>0</v>
      </c>
      <c r="U68" s="224">
        <f t="shared" si="15"/>
        <v>0</v>
      </c>
      <c r="V68" s="224">
        <f t="shared" si="15"/>
        <v>0</v>
      </c>
      <c r="W68" s="224">
        <f t="shared" si="15"/>
        <v>0</v>
      </c>
      <c r="X68" s="224">
        <f t="shared" si="15"/>
        <v>0</v>
      </c>
      <c r="Y68" s="224">
        <f t="shared" si="15"/>
        <v>0</v>
      </c>
      <c r="Z68" s="224">
        <f t="shared" si="15"/>
        <v>0</v>
      </c>
      <c r="AA68" s="224">
        <f t="shared" si="15"/>
        <v>0</v>
      </c>
      <c r="AB68" s="224">
        <f t="shared" si="15"/>
        <v>0</v>
      </c>
      <c r="AC68" s="224">
        <f t="shared" si="15"/>
        <v>0</v>
      </c>
      <c r="AD68" s="224">
        <f t="shared" si="15"/>
        <v>0</v>
      </c>
      <c r="AE68" s="224">
        <f t="shared" si="15"/>
        <v>0</v>
      </c>
      <c r="AF68" s="224">
        <f t="shared" si="15"/>
        <v>0</v>
      </c>
      <c r="AG68" s="224">
        <f t="shared" si="15"/>
        <v>0</v>
      </c>
      <c r="AH68" s="224">
        <f t="shared" si="15"/>
        <v>0</v>
      </c>
      <c r="AI68" s="224">
        <f t="shared" si="15"/>
        <v>0</v>
      </c>
      <c r="AJ68" s="224">
        <f t="shared" si="15"/>
        <v>0</v>
      </c>
      <c r="AK68" s="224">
        <f t="shared" si="15"/>
        <v>0</v>
      </c>
      <c r="AL68" s="224">
        <f t="shared" si="15"/>
        <v>0</v>
      </c>
      <c r="AM68" s="224">
        <f t="shared" si="15"/>
        <v>0</v>
      </c>
      <c r="AN68" s="224">
        <f t="shared" si="15"/>
        <v>0</v>
      </c>
      <c r="AO68" s="224">
        <f t="shared" si="15"/>
        <v>0</v>
      </c>
      <c r="AP68" s="224">
        <f t="shared" si="15"/>
        <v>0</v>
      </c>
      <c r="AQ68" s="224">
        <f t="shared" si="15"/>
        <v>0</v>
      </c>
      <c r="AR68" s="224">
        <f t="shared" si="15"/>
        <v>0</v>
      </c>
      <c r="AS68" s="224">
        <f t="shared" si="15"/>
        <v>0</v>
      </c>
    </row>
    <row r="69" spans="2:45" hidden="1" outlineLevel="1">
      <c r="B69" s="38" t="str">
        <f>'Input - Option 2 Detailed Input'!C76</f>
        <v xml:space="preserve">[Additional Costs #3] </v>
      </c>
      <c r="C69" s="30">
        <f>'Input - Option 2 Detailed Input'!G76</f>
        <v>0</v>
      </c>
      <c r="H69" s="343">
        <f t="shared" si="14"/>
        <v>0</v>
      </c>
      <c r="I69" s="211"/>
      <c r="J69" s="224">
        <f t="shared" si="16"/>
        <v>0</v>
      </c>
      <c r="K69" s="224">
        <f t="shared" si="15"/>
        <v>0</v>
      </c>
      <c r="L69" s="224">
        <f t="shared" si="15"/>
        <v>0</v>
      </c>
      <c r="M69" s="224">
        <f t="shared" si="15"/>
        <v>0</v>
      </c>
      <c r="N69" s="224">
        <f t="shared" si="15"/>
        <v>0</v>
      </c>
      <c r="O69" s="224">
        <f t="shared" si="15"/>
        <v>0</v>
      </c>
      <c r="P69" s="224">
        <f t="shared" si="15"/>
        <v>0</v>
      </c>
      <c r="Q69" s="224">
        <f t="shared" si="15"/>
        <v>0</v>
      </c>
      <c r="R69" s="224">
        <f t="shared" si="15"/>
        <v>0</v>
      </c>
      <c r="S69" s="224">
        <f t="shared" si="15"/>
        <v>0</v>
      </c>
      <c r="T69" s="224">
        <f t="shared" si="15"/>
        <v>0</v>
      </c>
      <c r="U69" s="224">
        <f t="shared" si="15"/>
        <v>0</v>
      </c>
      <c r="V69" s="224">
        <f t="shared" si="15"/>
        <v>0</v>
      </c>
      <c r="W69" s="224">
        <f t="shared" si="15"/>
        <v>0</v>
      </c>
      <c r="X69" s="224">
        <f t="shared" si="15"/>
        <v>0</v>
      </c>
      <c r="Y69" s="224">
        <f t="shared" si="15"/>
        <v>0</v>
      </c>
      <c r="Z69" s="224">
        <f t="shared" si="15"/>
        <v>0</v>
      </c>
      <c r="AA69" s="224">
        <f t="shared" si="15"/>
        <v>0</v>
      </c>
      <c r="AB69" s="224">
        <f t="shared" si="15"/>
        <v>0</v>
      </c>
      <c r="AC69" s="224">
        <f t="shared" si="15"/>
        <v>0</v>
      </c>
      <c r="AD69" s="224">
        <f t="shared" si="15"/>
        <v>0</v>
      </c>
      <c r="AE69" s="224">
        <f t="shared" si="15"/>
        <v>0</v>
      </c>
      <c r="AF69" s="224">
        <f t="shared" si="15"/>
        <v>0</v>
      </c>
      <c r="AG69" s="224">
        <f t="shared" si="15"/>
        <v>0</v>
      </c>
      <c r="AH69" s="224">
        <f t="shared" si="15"/>
        <v>0</v>
      </c>
      <c r="AI69" s="224">
        <f t="shared" si="15"/>
        <v>0</v>
      </c>
      <c r="AJ69" s="224">
        <f t="shared" ref="AJ69:AS69" si="17">-IF(AND(AJ$3&gt;=$C$58,AJ$3&lt;=$D$58),$C69*AJ$4,)</f>
        <v>0</v>
      </c>
      <c r="AK69" s="224">
        <f t="shared" si="17"/>
        <v>0</v>
      </c>
      <c r="AL69" s="224">
        <f t="shared" si="17"/>
        <v>0</v>
      </c>
      <c r="AM69" s="224">
        <f t="shared" si="17"/>
        <v>0</v>
      </c>
      <c r="AN69" s="224">
        <f t="shared" si="17"/>
        <v>0</v>
      </c>
      <c r="AO69" s="224">
        <f t="shared" si="17"/>
        <v>0</v>
      </c>
      <c r="AP69" s="224">
        <f t="shared" si="17"/>
        <v>0</v>
      </c>
      <c r="AQ69" s="224">
        <f t="shared" si="17"/>
        <v>0</v>
      </c>
      <c r="AR69" s="224">
        <f t="shared" si="17"/>
        <v>0</v>
      </c>
      <c r="AS69" s="224">
        <f t="shared" si="17"/>
        <v>0</v>
      </c>
    </row>
    <row r="70" spans="2:45" hidden="1" outlineLevel="1">
      <c r="H70" s="52"/>
      <c r="I70" s="21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row>
    <row r="71" spans="2:45" hidden="1" outlineLevel="1">
      <c r="B71" s="65" t="str">
        <f>'Input - Option 2 Detailed Input'!C78</f>
        <v>SOFT LANDSCAPE</v>
      </c>
      <c r="C71" s="40" t="str">
        <f>'Input - Option 2 Detailed Input'!G84</f>
        <v>Total Costs excl. inflation</v>
      </c>
      <c r="H71" s="33"/>
      <c r="I71" s="5"/>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row>
    <row r="72" spans="2:45" hidden="1" outlineLevel="1">
      <c r="B72" s="38" t="str">
        <f>'Input - Option 2 Detailed Input'!C85</f>
        <v>Urban Tree Planting Labour</v>
      </c>
      <c r="C72" s="272">
        <f>'Input - Option 2 Detailed Input'!G85</f>
        <v>0</v>
      </c>
      <c r="H72" s="343">
        <f t="shared" ref="H72:H79" si="18">SUM(J72:EJ72)</f>
        <v>0</v>
      </c>
      <c r="I72" s="211"/>
      <c r="J72" s="224">
        <f>-IF(AND(J$3&gt;=$C$58,J$3&lt;=$D$58),(($C72)*J$4),)</f>
        <v>0</v>
      </c>
      <c r="K72" s="224">
        <f t="shared" ref="K72:AS79" si="19">-IF(AND(K$3&gt;=$C$58,K$3&lt;=$D$58),(($C72)*K$4),)</f>
        <v>0</v>
      </c>
      <c r="L72" s="224">
        <f t="shared" si="19"/>
        <v>0</v>
      </c>
      <c r="M72" s="224">
        <f t="shared" si="19"/>
        <v>0</v>
      </c>
      <c r="N72" s="224">
        <f t="shared" si="19"/>
        <v>0</v>
      </c>
      <c r="O72" s="224">
        <f t="shared" si="19"/>
        <v>0</v>
      </c>
      <c r="P72" s="224">
        <f t="shared" si="19"/>
        <v>0</v>
      </c>
      <c r="Q72" s="224">
        <f t="shared" si="19"/>
        <v>0</v>
      </c>
      <c r="R72" s="224">
        <f t="shared" si="19"/>
        <v>0</v>
      </c>
      <c r="S72" s="224">
        <f t="shared" si="19"/>
        <v>0</v>
      </c>
      <c r="T72" s="224">
        <f t="shared" si="19"/>
        <v>0</v>
      </c>
      <c r="U72" s="224">
        <f t="shared" si="19"/>
        <v>0</v>
      </c>
      <c r="V72" s="224">
        <f t="shared" si="19"/>
        <v>0</v>
      </c>
      <c r="W72" s="224">
        <f t="shared" si="19"/>
        <v>0</v>
      </c>
      <c r="X72" s="224">
        <f t="shared" si="19"/>
        <v>0</v>
      </c>
      <c r="Y72" s="224">
        <f t="shared" si="19"/>
        <v>0</v>
      </c>
      <c r="Z72" s="224">
        <f t="shared" si="19"/>
        <v>0</v>
      </c>
      <c r="AA72" s="224">
        <f t="shared" si="19"/>
        <v>0</v>
      </c>
      <c r="AB72" s="224">
        <f t="shared" si="19"/>
        <v>0</v>
      </c>
      <c r="AC72" s="224">
        <f t="shared" si="19"/>
        <v>0</v>
      </c>
      <c r="AD72" s="224">
        <f t="shared" si="19"/>
        <v>0</v>
      </c>
      <c r="AE72" s="224">
        <f t="shared" si="19"/>
        <v>0</v>
      </c>
      <c r="AF72" s="224">
        <f t="shared" si="19"/>
        <v>0</v>
      </c>
      <c r="AG72" s="224">
        <f t="shared" si="19"/>
        <v>0</v>
      </c>
      <c r="AH72" s="224">
        <f t="shared" si="19"/>
        <v>0</v>
      </c>
      <c r="AI72" s="224">
        <f t="shared" si="19"/>
        <v>0</v>
      </c>
      <c r="AJ72" s="224">
        <f t="shared" si="19"/>
        <v>0</v>
      </c>
      <c r="AK72" s="224">
        <f t="shared" si="19"/>
        <v>0</v>
      </c>
      <c r="AL72" s="224">
        <f t="shared" si="19"/>
        <v>0</v>
      </c>
      <c r="AM72" s="224">
        <f t="shared" si="19"/>
        <v>0</v>
      </c>
      <c r="AN72" s="224">
        <f t="shared" si="19"/>
        <v>0</v>
      </c>
      <c r="AO72" s="224">
        <f t="shared" si="19"/>
        <v>0</v>
      </c>
      <c r="AP72" s="224">
        <f t="shared" si="19"/>
        <v>0</v>
      </c>
      <c r="AQ72" s="224">
        <f t="shared" si="19"/>
        <v>0</v>
      </c>
      <c r="AR72" s="224">
        <f t="shared" si="19"/>
        <v>0</v>
      </c>
      <c r="AS72" s="224">
        <f t="shared" si="19"/>
        <v>0</v>
      </c>
    </row>
    <row r="73" spans="2:45" hidden="1" outlineLevel="1">
      <c r="B73" s="38" t="str">
        <f>'Input - Option 2 Detailed Input'!C87</f>
        <v>Ground Anchoring or Stakes</v>
      </c>
      <c r="C73" s="272">
        <f>'Input - Option 2 Detailed Input'!G87</f>
        <v>0</v>
      </c>
      <c r="H73" s="343">
        <f t="shared" si="18"/>
        <v>0</v>
      </c>
      <c r="I73" s="211"/>
      <c r="J73" s="224">
        <f t="shared" ref="J73:Y79" si="20">-IF(AND(J$3&gt;=$C$58,J$3&lt;=$D$58),(($C73)*J$4),)</f>
        <v>0</v>
      </c>
      <c r="K73" s="224">
        <f t="shared" si="20"/>
        <v>0</v>
      </c>
      <c r="L73" s="224">
        <f t="shared" si="20"/>
        <v>0</v>
      </c>
      <c r="M73" s="224">
        <f t="shared" si="20"/>
        <v>0</v>
      </c>
      <c r="N73" s="224">
        <f t="shared" si="20"/>
        <v>0</v>
      </c>
      <c r="O73" s="224">
        <f t="shared" si="20"/>
        <v>0</v>
      </c>
      <c r="P73" s="224">
        <f t="shared" si="20"/>
        <v>0</v>
      </c>
      <c r="Q73" s="224">
        <f t="shared" si="20"/>
        <v>0</v>
      </c>
      <c r="R73" s="224">
        <f t="shared" si="20"/>
        <v>0</v>
      </c>
      <c r="S73" s="224">
        <f t="shared" si="20"/>
        <v>0</v>
      </c>
      <c r="T73" s="224">
        <f t="shared" si="20"/>
        <v>0</v>
      </c>
      <c r="U73" s="224">
        <f t="shared" si="20"/>
        <v>0</v>
      </c>
      <c r="V73" s="224">
        <f t="shared" si="20"/>
        <v>0</v>
      </c>
      <c r="W73" s="224">
        <f t="shared" si="20"/>
        <v>0</v>
      </c>
      <c r="X73" s="224">
        <f t="shared" si="20"/>
        <v>0</v>
      </c>
      <c r="Y73" s="224">
        <f t="shared" si="20"/>
        <v>0</v>
      </c>
      <c r="Z73" s="224">
        <f t="shared" si="19"/>
        <v>0</v>
      </c>
      <c r="AA73" s="224">
        <f t="shared" si="19"/>
        <v>0</v>
      </c>
      <c r="AB73" s="224">
        <f t="shared" si="19"/>
        <v>0</v>
      </c>
      <c r="AC73" s="224">
        <f t="shared" si="19"/>
        <v>0</v>
      </c>
      <c r="AD73" s="224">
        <f t="shared" si="19"/>
        <v>0</v>
      </c>
      <c r="AE73" s="224">
        <f t="shared" si="19"/>
        <v>0</v>
      </c>
      <c r="AF73" s="224">
        <f t="shared" si="19"/>
        <v>0</v>
      </c>
      <c r="AG73" s="224">
        <f t="shared" si="19"/>
        <v>0</v>
      </c>
      <c r="AH73" s="224">
        <f t="shared" si="19"/>
        <v>0</v>
      </c>
      <c r="AI73" s="224">
        <f t="shared" si="19"/>
        <v>0</v>
      </c>
      <c r="AJ73" s="224">
        <f t="shared" si="19"/>
        <v>0</v>
      </c>
      <c r="AK73" s="224">
        <f t="shared" si="19"/>
        <v>0</v>
      </c>
      <c r="AL73" s="224">
        <f t="shared" si="19"/>
        <v>0</v>
      </c>
      <c r="AM73" s="224">
        <f t="shared" si="19"/>
        <v>0</v>
      </c>
      <c r="AN73" s="224">
        <f t="shared" si="19"/>
        <v>0</v>
      </c>
      <c r="AO73" s="224">
        <f t="shared" si="19"/>
        <v>0</v>
      </c>
      <c r="AP73" s="224">
        <f t="shared" si="19"/>
        <v>0</v>
      </c>
      <c r="AQ73" s="224">
        <f t="shared" si="19"/>
        <v>0</v>
      </c>
      <c r="AR73" s="224">
        <f t="shared" si="19"/>
        <v>0</v>
      </c>
      <c r="AS73" s="224">
        <f t="shared" si="19"/>
        <v>0</v>
      </c>
    </row>
    <row r="74" spans="2:45" hidden="1" outlineLevel="1">
      <c r="B74" s="38" t="str">
        <f>'Input - Option 2 Detailed Input'!C88</f>
        <v>Watering Systems (e.g. watering bag, watering tube, etc.)</v>
      </c>
      <c r="C74" s="272">
        <f>'Input - Option 2 Detailed Input'!G88</f>
        <v>0</v>
      </c>
      <c r="H74" s="343">
        <f t="shared" si="18"/>
        <v>0</v>
      </c>
      <c r="I74" s="211"/>
      <c r="J74" s="224">
        <f t="shared" si="20"/>
        <v>0</v>
      </c>
      <c r="K74" s="224">
        <f t="shared" si="19"/>
        <v>0</v>
      </c>
      <c r="L74" s="224">
        <f t="shared" si="19"/>
        <v>0</v>
      </c>
      <c r="M74" s="224">
        <f t="shared" si="19"/>
        <v>0</v>
      </c>
      <c r="N74" s="224">
        <f t="shared" si="19"/>
        <v>0</v>
      </c>
      <c r="O74" s="224">
        <f t="shared" si="19"/>
        <v>0</v>
      </c>
      <c r="P74" s="224">
        <f t="shared" si="19"/>
        <v>0</v>
      </c>
      <c r="Q74" s="224">
        <f t="shared" si="19"/>
        <v>0</v>
      </c>
      <c r="R74" s="224">
        <f t="shared" si="19"/>
        <v>0</v>
      </c>
      <c r="S74" s="224">
        <f t="shared" si="19"/>
        <v>0</v>
      </c>
      <c r="T74" s="224">
        <f t="shared" si="19"/>
        <v>0</v>
      </c>
      <c r="U74" s="224">
        <f t="shared" si="19"/>
        <v>0</v>
      </c>
      <c r="V74" s="224">
        <f t="shared" si="19"/>
        <v>0</v>
      </c>
      <c r="W74" s="224">
        <f t="shared" si="19"/>
        <v>0</v>
      </c>
      <c r="X74" s="224">
        <f t="shared" si="19"/>
        <v>0</v>
      </c>
      <c r="Y74" s="224">
        <f t="shared" si="19"/>
        <v>0</v>
      </c>
      <c r="Z74" s="224">
        <f t="shared" si="19"/>
        <v>0</v>
      </c>
      <c r="AA74" s="224">
        <f t="shared" si="19"/>
        <v>0</v>
      </c>
      <c r="AB74" s="224">
        <f t="shared" si="19"/>
        <v>0</v>
      </c>
      <c r="AC74" s="224">
        <f t="shared" si="19"/>
        <v>0</v>
      </c>
      <c r="AD74" s="224">
        <f t="shared" si="19"/>
        <v>0</v>
      </c>
      <c r="AE74" s="224">
        <f t="shared" si="19"/>
        <v>0</v>
      </c>
      <c r="AF74" s="224">
        <f t="shared" si="19"/>
        <v>0</v>
      </c>
      <c r="AG74" s="224">
        <f t="shared" si="19"/>
        <v>0</v>
      </c>
      <c r="AH74" s="224">
        <f t="shared" si="19"/>
        <v>0</v>
      </c>
      <c r="AI74" s="224">
        <f t="shared" si="19"/>
        <v>0</v>
      </c>
      <c r="AJ74" s="224">
        <f t="shared" si="19"/>
        <v>0</v>
      </c>
      <c r="AK74" s="224">
        <f t="shared" si="19"/>
        <v>0</v>
      </c>
      <c r="AL74" s="224">
        <f t="shared" si="19"/>
        <v>0</v>
      </c>
      <c r="AM74" s="224">
        <f t="shared" si="19"/>
        <v>0</v>
      </c>
      <c r="AN74" s="224">
        <f t="shared" si="19"/>
        <v>0</v>
      </c>
      <c r="AO74" s="224">
        <f t="shared" si="19"/>
        <v>0</v>
      </c>
      <c r="AP74" s="224">
        <f t="shared" si="19"/>
        <v>0</v>
      </c>
      <c r="AQ74" s="224">
        <f t="shared" si="19"/>
        <v>0</v>
      </c>
      <c r="AR74" s="224">
        <f t="shared" si="19"/>
        <v>0</v>
      </c>
      <c r="AS74" s="224">
        <f t="shared" si="19"/>
        <v>0</v>
      </c>
    </row>
    <row r="75" spans="2:45" hidden="1" outlineLevel="1">
      <c r="B75" s="38" t="str">
        <f>'Input - Option 2 Detailed Input'!C89</f>
        <v xml:space="preserve">[Additional Costs #1] </v>
      </c>
      <c r="C75" s="272">
        <f>'Input - Option 2 Detailed Input'!G89</f>
        <v>0</v>
      </c>
      <c r="H75" s="343">
        <f t="shared" si="18"/>
        <v>0</v>
      </c>
      <c r="I75" s="211"/>
      <c r="J75" s="224">
        <f t="shared" si="20"/>
        <v>0</v>
      </c>
      <c r="K75" s="224">
        <f t="shared" si="19"/>
        <v>0</v>
      </c>
      <c r="L75" s="224">
        <f t="shared" si="19"/>
        <v>0</v>
      </c>
      <c r="M75" s="224">
        <f t="shared" si="19"/>
        <v>0</v>
      </c>
      <c r="N75" s="224">
        <f t="shared" si="19"/>
        <v>0</v>
      </c>
      <c r="O75" s="224">
        <f t="shared" si="19"/>
        <v>0</v>
      </c>
      <c r="P75" s="224">
        <f t="shared" si="19"/>
        <v>0</v>
      </c>
      <c r="Q75" s="224">
        <f t="shared" si="19"/>
        <v>0</v>
      </c>
      <c r="R75" s="224">
        <f t="shared" si="19"/>
        <v>0</v>
      </c>
      <c r="S75" s="224">
        <f t="shared" si="19"/>
        <v>0</v>
      </c>
      <c r="T75" s="224">
        <f t="shared" si="19"/>
        <v>0</v>
      </c>
      <c r="U75" s="224">
        <f t="shared" si="19"/>
        <v>0</v>
      </c>
      <c r="V75" s="224">
        <f t="shared" si="19"/>
        <v>0</v>
      </c>
      <c r="W75" s="224">
        <f t="shared" si="19"/>
        <v>0</v>
      </c>
      <c r="X75" s="224">
        <f t="shared" si="19"/>
        <v>0</v>
      </c>
      <c r="Y75" s="224">
        <f t="shared" si="19"/>
        <v>0</v>
      </c>
      <c r="Z75" s="224">
        <f t="shared" si="19"/>
        <v>0</v>
      </c>
      <c r="AA75" s="224">
        <f t="shared" si="19"/>
        <v>0</v>
      </c>
      <c r="AB75" s="224">
        <f t="shared" si="19"/>
        <v>0</v>
      </c>
      <c r="AC75" s="224">
        <f t="shared" si="19"/>
        <v>0</v>
      </c>
      <c r="AD75" s="224">
        <f t="shared" si="19"/>
        <v>0</v>
      </c>
      <c r="AE75" s="224">
        <f t="shared" si="19"/>
        <v>0</v>
      </c>
      <c r="AF75" s="224">
        <f t="shared" si="19"/>
        <v>0</v>
      </c>
      <c r="AG75" s="224">
        <f t="shared" si="19"/>
        <v>0</v>
      </c>
      <c r="AH75" s="224">
        <f t="shared" si="19"/>
        <v>0</v>
      </c>
      <c r="AI75" s="224">
        <f t="shared" si="19"/>
        <v>0</v>
      </c>
      <c r="AJ75" s="224">
        <f t="shared" si="19"/>
        <v>0</v>
      </c>
      <c r="AK75" s="224">
        <f t="shared" si="19"/>
        <v>0</v>
      </c>
      <c r="AL75" s="224">
        <f t="shared" si="19"/>
        <v>0</v>
      </c>
      <c r="AM75" s="224">
        <f t="shared" si="19"/>
        <v>0</v>
      </c>
      <c r="AN75" s="224">
        <f t="shared" si="19"/>
        <v>0</v>
      </c>
      <c r="AO75" s="224">
        <f t="shared" si="19"/>
        <v>0</v>
      </c>
      <c r="AP75" s="224">
        <f t="shared" si="19"/>
        <v>0</v>
      </c>
      <c r="AQ75" s="224">
        <f t="shared" si="19"/>
        <v>0</v>
      </c>
      <c r="AR75" s="224">
        <f t="shared" si="19"/>
        <v>0</v>
      </c>
      <c r="AS75" s="224">
        <f t="shared" si="19"/>
        <v>0</v>
      </c>
    </row>
    <row r="76" spans="2:45" hidden="1" outlineLevel="1">
      <c r="B76" s="38" t="str">
        <f>'Input - Option 2 Detailed Input'!C90</f>
        <v xml:space="preserve">[Additional Costs #2] </v>
      </c>
      <c r="C76" s="272">
        <f>'Input - Option 2 Detailed Input'!G90</f>
        <v>0</v>
      </c>
      <c r="H76" s="343">
        <f t="shared" si="18"/>
        <v>0</v>
      </c>
      <c r="I76" s="211"/>
      <c r="J76" s="224">
        <f t="shared" si="20"/>
        <v>0</v>
      </c>
      <c r="K76" s="224">
        <f t="shared" si="19"/>
        <v>0</v>
      </c>
      <c r="L76" s="224">
        <f t="shared" si="19"/>
        <v>0</v>
      </c>
      <c r="M76" s="224">
        <f t="shared" si="19"/>
        <v>0</v>
      </c>
      <c r="N76" s="224">
        <f t="shared" si="19"/>
        <v>0</v>
      </c>
      <c r="O76" s="224">
        <f t="shared" si="19"/>
        <v>0</v>
      </c>
      <c r="P76" s="224">
        <f t="shared" si="19"/>
        <v>0</v>
      </c>
      <c r="Q76" s="224">
        <f t="shared" si="19"/>
        <v>0</v>
      </c>
      <c r="R76" s="224">
        <f t="shared" si="19"/>
        <v>0</v>
      </c>
      <c r="S76" s="224">
        <f t="shared" si="19"/>
        <v>0</v>
      </c>
      <c r="T76" s="224">
        <f t="shared" si="19"/>
        <v>0</v>
      </c>
      <c r="U76" s="224">
        <f t="shared" si="19"/>
        <v>0</v>
      </c>
      <c r="V76" s="224">
        <f t="shared" si="19"/>
        <v>0</v>
      </c>
      <c r="W76" s="224">
        <f t="shared" si="19"/>
        <v>0</v>
      </c>
      <c r="X76" s="224">
        <f t="shared" si="19"/>
        <v>0</v>
      </c>
      <c r="Y76" s="224">
        <f t="shared" si="19"/>
        <v>0</v>
      </c>
      <c r="Z76" s="224">
        <f t="shared" si="19"/>
        <v>0</v>
      </c>
      <c r="AA76" s="224">
        <f t="shared" si="19"/>
        <v>0</v>
      </c>
      <c r="AB76" s="224">
        <f t="shared" si="19"/>
        <v>0</v>
      </c>
      <c r="AC76" s="224">
        <f t="shared" si="19"/>
        <v>0</v>
      </c>
      <c r="AD76" s="224">
        <f t="shared" si="19"/>
        <v>0</v>
      </c>
      <c r="AE76" s="224">
        <f t="shared" si="19"/>
        <v>0</v>
      </c>
      <c r="AF76" s="224">
        <f t="shared" si="19"/>
        <v>0</v>
      </c>
      <c r="AG76" s="224">
        <f t="shared" si="19"/>
        <v>0</v>
      </c>
      <c r="AH76" s="224">
        <f t="shared" si="19"/>
        <v>0</v>
      </c>
      <c r="AI76" s="224">
        <f t="shared" si="19"/>
        <v>0</v>
      </c>
      <c r="AJ76" s="224">
        <f t="shared" si="19"/>
        <v>0</v>
      </c>
      <c r="AK76" s="224">
        <f t="shared" si="19"/>
        <v>0</v>
      </c>
      <c r="AL76" s="224">
        <f t="shared" si="19"/>
        <v>0</v>
      </c>
      <c r="AM76" s="224">
        <f t="shared" si="19"/>
        <v>0</v>
      </c>
      <c r="AN76" s="224">
        <f t="shared" si="19"/>
        <v>0</v>
      </c>
      <c r="AO76" s="224">
        <f t="shared" si="19"/>
        <v>0</v>
      </c>
      <c r="AP76" s="224">
        <f t="shared" si="19"/>
        <v>0</v>
      </c>
      <c r="AQ76" s="224">
        <f t="shared" si="19"/>
        <v>0</v>
      </c>
      <c r="AR76" s="224">
        <f t="shared" si="19"/>
        <v>0</v>
      </c>
      <c r="AS76" s="224">
        <f t="shared" si="19"/>
        <v>0</v>
      </c>
    </row>
    <row r="77" spans="2:45" hidden="1" outlineLevel="1">
      <c r="B77" s="38" t="str">
        <f>'Input - Option 2 Detailed Input'!C91</f>
        <v xml:space="preserve">[Additional Costs #3] </v>
      </c>
      <c r="C77" s="272">
        <f>'Input - Option 2 Detailed Input'!G91</f>
        <v>0</v>
      </c>
      <c r="H77" s="343">
        <f t="shared" si="18"/>
        <v>0</v>
      </c>
      <c r="I77" s="211"/>
      <c r="J77" s="224">
        <f t="shared" si="20"/>
        <v>0</v>
      </c>
      <c r="K77" s="224">
        <f t="shared" si="19"/>
        <v>0</v>
      </c>
      <c r="L77" s="224">
        <f t="shared" si="19"/>
        <v>0</v>
      </c>
      <c r="M77" s="224">
        <f t="shared" si="19"/>
        <v>0</v>
      </c>
      <c r="N77" s="224">
        <f t="shared" si="19"/>
        <v>0</v>
      </c>
      <c r="O77" s="224">
        <f t="shared" si="19"/>
        <v>0</v>
      </c>
      <c r="P77" s="224">
        <f t="shared" si="19"/>
        <v>0</v>
      </c>
      <c r="Q77" s="224">
        <f t="shared" si="19"/>
        <v>0</v>
      </c>
      <c r="R77" s="224">
        <f t="shared" si="19"/>
        <v>0</v>
      </c>
      <c r="S77" s="224">
        <f t="shared" si="19"/>
        <v>0</v>
      </c>
      <c r="T77" s="224">
        <f t="shared" si="19"/>
        <v>0</v>
      </c>
      <c r="U77" s="224">
        <f t="shared" si="19"/>
        <v>0</v>
      </c>
      <c r="V77" s="224">
        <f t="shared" si="19"/>
        <v>0</v>
      </c>
      <c r="W77" s="224">
        <f t="shared" si="19"/>
        <v>0</v>
      </c>
      <c r="X77" s="224">
        <f t="shared" si="19"/>
        <v>0</v>
      </c>
      <c r="Y77" s="224">
        <f t="shared" si="19"/>
        <v>0</v>
      </c>
      <c r="Z77" s="224">
        <f t="shared" si="19"/>
        <v>0</v>
      </c>
      <c r="AA77" s="224">
        <f t="shared" si="19"/>
        <v>0</v>
      </c>
      <c r="AB77" s="224">
        <f t="shared" si="19"/>
        <v>0</v>
      </c>
      <c r="AC77" s="224">
        <f t="shared" si="19"/>
        <v>0</v>
      </c>
      <c r="AD77" s="224">
        <f t="shared" si="19"/>
        <v>0</v>
      </c>
      <c r="AE77" s="224">
        <f t="shared" si="19"/>
        <v>0</v>
      </c>
      <c r="AF77" s="224">
        <f t="shared" si="19"/>
        <v>0</v>
      </c>
      <c r="AG77" s="224">
        <f t="shared" si="19"/>
        <v>0</v>
      </c>
      <c r="AH77" s="224">
        <f t="shared" si="19"/>
        <v>0</v>
      </c>
      <c r="AI77" s="224">
        <f t="shared" si="19"/>
        <v>0</v>
      </c>
      <c r="AJ77" s="224">
        <f t="shared" si="19"/>
        <v>0</v>
      </c>
      <c r="AK77" s="224">
        <f t="shared" si="19"/>
        <v>0</v>
      </c>
      <c r="AL77" s="224">
        <f t="shared" si="19"/>
        <v>0</v>
      </c>
      <c r="AM77" s="224">
        <f t="shared" si="19"/>
        <v>0</v>
      </c>
      <c r="AN77" s="224">
        <f t="shared" si="19"/>
        <v>0</v>
      </c>
      <c r="AO77" s="224">
        <f t="shared" si="19"/>
        <v>0</v>
      </c>
      <c r="AP77" s="224">
        <f t="shared" si="19"/>
        <v>0</v>
      </c>
      <c r="AQ77" s="224">
        <f t="shared" si="19"/>
        <v>0</v>
      </c>
      <c r="AR77" s="224">
        <f t="shared" si="19"/>
        <v>0</v>
      </c>
      <c r="AS77" s="224">
        <f t="shared" si="19"/>
        <v>0</v>
      </c>
    </row>
    <row r="78" spans="2:45" hidden="1" outlineLevel="1">
      <c r="B78" s="38" t="str">
        <f>'Input - Option 2 Detailed Input'!C92</f>
        <v xml:space="preserve">[Additional Costs #4] </v>
      </c>
      <c r="C78" s="272">
        <f>'Input - Option 2 Detailed Input'!G92</f>
        <v>0</v>
      </c>
      <c r="H78" s="343">
        <f t="shared" si="18"/>
        <v>0</v>
      </c>
      <c r="I78" s="211"/>
      <c r="J78" s="224">
        <f t="shared" si="20"/>
        <v>0</v>
      </c>
      <c r="K78" s="224">
        <f t="shared" si="19"/>
        <v>0</v>
      </c>
      <c r="L78" s="224">
        <f t="shared" si="19"/>
        <v>0</v>
      </c>
      <c r="M78" s="224">
        <f t="shared" si="19"/>
        <v>0</v>
      </c>
      <c r="N78" s="224">
        <f t="shared" si="19"/>
        <v>0</v>
      </c>
      <c r="O78" s="224">
        <f t="shared" si="19"/>
        <v>0</v>
      </c>
      <c r="P78" s="224">
        <f t="shared" si="19"/>
        <v>0</v>
      </c>
      <c r="Q78" s="224">
        <f t="shared" si="19"/>
        <v>0</v>
      </c>
      <c r="R78" s="224">
        <f t="shared" si="19"/>
        <v>0</v>
      </c>
      <c r="S78" s="224">
        <f t="shared" si="19"/>
        <v>0</v>
      </c>
      <c r="T78" s="224">
        <f t="shared" si="19"/>
        <v>0</v>
      </c>
      <c r="U78" s="224">
        <f t="shared" si="19"/>
        <v>0</v>
      </c>
      <c r="V78" s="224">
        <f t="shared" si="19"/>
        <v>0</v>
      </c>
      <c r="W78" s="224">
        <f t="shared" si="19"/>
        <v>0</v>
      </c>
      <c r="X78" s="224">
        <f t="shared" si="19"/>
        <v>0</v>
      </c>
      <c r="Y78" s="224">
        <f t="shared" si="19"/>
        <v>0</v>
      </c>
      <c r="Z78" s="224">
        <f t="shared" si="19"/>
        <v>0</v>
      </c>
      <c r="AA78" s="224">
        <f t="shared" si="19"/>
        <v>0</v>
      </c>
      <c r="AB78" s="224">
        <f t="shared" si="19"/>
        <v>0</v>
      </c>
      <c r="AC78" s="224">
        <f t="shared" si="19"/>
        <v>0</v>
      </c>
      <c r="AD78" s="224">
        <f t="shared" si="19"/>
        <v>0</v>
      </c>
      <c r="AE78" s="224">
        <f t="shared" si="19"/>
        <v>0</v>
      </c>
      <c r="AF78" s="224">
        <f t="shared" si="19"/>
        <v>0</v>
      </c>
      <c r="AG78" s="224">
        <f t="shared" si="19"/>
        <v>0</v>
      </c>
      <c r="AH78" s="224">
        <f t="shared" si="19"/>
        <v>0</v>
      </c>
      <c r="AI78" s="224">
        <f t="shared" si="19"/>
        <v>0</v>
      </c>
      <c r="AJ78" s="224">
        <f t="shared" si="19"/>
        <v>0</v>
      </c>
      <c r="AK78" s="224">
        <f t="shared" si="19"/>
        <v>0</v>
      </c>
      <c r="AL78" s="224">
        <f t="shared" si="19"/>
        <v>0</v>
      </c>
      <c r="AM78" s="224">
        <f t="shared" si="19"/>
        <v>0</v>
      </c>
      <c r="AN78" s="224">
        <f t="shared" si="19"/>
        <v>0</v>
      </c>
      <c r="AO78" s="224">
        <f t="shared" si="19"/>
        <v>0</v>
      </c>
      <c r="AP78" s="224">
        <f t="shared" si="19"/>
        <v>0</v>
      </c>
      <c r="AQ78" s="224">
        <f t="shared" si="19"/>
        <v>0</v>
      </c>
      <c r="AR78" s="224">
        <f t="shared" si="19"/>
        <v>0</v>
      </c>
      <c r="AS78" s="224">
        <f t="shared" si="19"/>
        <v>0</v>
      </c>
    </row>
    <row r="79" spans="2:45" hidden="1" outlineLevel="1">
      <c r="B79" s="38" t="str">
        <f>'Input - Option 2 Detailed Input'!C93</f>
        <v xml:space="preserve">[Additional Costs #5] </v>
      </c>
      <c r="C79" s="272">
        <f>'Input - Option 2 Detailed Input'!G93</f>
        <v>0</v>
      </c>
      <c r="H79" s="343">
        <f t="shared" si="18"/>
        <v>0</v>
      </c>
      <c r="I79" s="211"/>
      <c r="J79" s="224">
        <f t="shared" si="20"/>
        <v>0</v>
      </c>
      <c r="K79" s="224">
        <f t="shared" si="19"/>
        <v>0</v>
      </c>
      <c r="L79" s="224">
        <f t="shared" si="19"/>
        <v>0</v>
      </c>
      <c r="M79" s="224">
        <f t="shared" si="19"/>
        <v>0</v>
      </c>
      <c r="N79" s="224">
        <f t="shared" si="19"/>
        <v>0</v>
      </c>
      <c r="O79" s="224">
        <f t="shared" si="19"/>
        <v>0</v>
      </c>
      <c r="P79" s="224">
        <f t="shared" si="19"/>
        <v>0</v>
      </c>
      <c r="Q79" s="224">
        <f t="shared" si="19"/>
        <v>0</v>
      </c>
      <c r="R79" s="224">
        <f t="shared" si="19"/>
        <v>0</v>
      </c>
      <c r="S79" s="224">
        <f t="shared" si="19"/>
        <v>0</v>
      </c>
      <c r="T79" s="224">
        <f t="shared" si="19"/>
        <v>0</v>
      </c>
      <c r="U79" s="224">
        <f t="shared" si="19"/>
        <v>0</v>
      </c>
      <c r="V79" s="224">
        <f t="shared" si="19"/>
        <v>0</v>
      </c>
      <c r="W79" s="224">
        <f t="shared" si="19"/>
        <v>0</v>
      </c>
      <c r="X79" s="224">
        <f t="shared" si="19"/>
        <v>0</v>
      </c>
      <c r="Y79" s="224">
        <f t="shared" si="19"/>
        <v>0</v>
      </c>
      <c r="Z79" s="224">
        <f t="shared" si="19"/>
        <v>0</v>
      </c>
      <c r="AA79" s="224">
        <f t="shared" si="19"/>
        <v>0</v>
      </c>
      <c r="AB79" s="224">
        <f t="shared" si="19"/>
        <v>0</v>
      </c>
      <c r="AC79" s="224">
        <f t="shared" si="19"/>
        <v>0</v>
      </c>
      <c r="AD79" s="224">
        <f t="shared" si="19"/>
        <v>0</v>
      </c>
      <c r="AE79" s="224">
        <f t="shared" si="19"/>
        <v>0</v>
      </c>
      <c r="AF79" s="224">
        <f t="shared" si="19"/>
        <v>0</v>
      </c>
      <c r="AG79" s="224">
        <f t="shared" si="19"/>
        <v>0</v>
      </c>
      <c r="AH79" s="224">
        <f t="shared" si="19"/>
        <v>0</v>
      </c>
      <c r="AI79" s="224">
        <f t="shared" si="19"/>
        <v>0</v>
      </c>
      <c r="AJ79" s="224">
        <f t="shared" ref="AJ79:AS79" si="21">-IF(AND(AJ$3&gt;=$C$58,AJ$3&lt;=$D$58),(($C79)*AJ$4),)</f>
        <v>0</v>
      </c>
      <c r="AK79" s="224">
        <f t="shared" si="21"/>
        <v>0</v>
      </c>
      <c r="AL79" s="224">
        <f t="shared" si="21"/>
        <v>0</v>
      </c>
      <c r="AM79" s="224">
        <f t="shared" si="21"/>
        <v>0</v>
      </c>
      <c r="AN79" s="224">
        <f t="shared" si="21"/>
        <v>0</v>
      </c>
      <c r="AO79" s="224">
        <f t="shared" si="21"/>
        <v>0</v>
      </c>
      <c r="AP79" s="224">
        <f t="shared" si="21"/>
        <v>0</v>
      </c>
      <c r="AQ79" s="224">
        <f t="shared" si="21"/>
        <v>0</v>
      </c>
      <c r="AR79" s="224">
        <f t="shared" si="21"/>
        <v>0</v>
      </c>
      <c r="AS79" s="224">
        <f t="shared" si="21"/>
        <v>0</v>
      </c>
    </row>
    <row r="80" spans="2:45" hidden="1" outlineLevel="1">
      <c r="B80" s="88"/>
      <c r="H80" s="33"/>
      <c r="I80" s="5"/>
      <c r="J80" s="224"/>
      <c r="K80" s="224"/>
      <c r="L80" s="224"/>
      <c r="M80" s="224"/>
      <c r="N80" s="224"/>
      <c r="O80" s="224"/>
      <c r="P80" s="224"/>
      <c r="Q80" s="224"/>
      <c r="R80" s="224"/>
      <c r="S80" s="224"/>
      <c r="T80" s="224"/>
      <c r="U80" s="224"/>
      <c r="V80" s="224"/>
      <c r="W80" s="224"/>
      <c r="X80" s="224"/>
      <c r="Y80" s="224"/>
      <c r="Z80" s="224"/>
      <c r="AA80" s="224"/>
      <c r="AB80" s="224"/>
      <c r="AC80" s="224"/>
      <c r="AD80" s="224"/>
      <c r="AE80" s="224"/>
      <c r="AF80" s="224"/>
      <c r="AG80" s="224"/>
      <c r="AH80" s="224"/>
      <c r="AI80" s="224"/>
      <c r="AJ80" s="224"/>
      <c r="AK80" s="224"/>
      <c r="AL80" s="224"/>
      <c r="AM80" s="224"/>
      <c r="AN80" s="224"/>
      <c r="AO80" s="224"/>
      <c r="AP80" s="224"/>
      <c r="AQ80" s="224"/>
      <c r="AR80" s="224"/>
      <c r="AS80" s="224"/>
    </row>
    <row r="81" spans="1:45" hidden="1" outlineLevel="1">
      <c r="B81" s="66" t="str">
        <f>'Input - Option 2 Detailed Input'!C96</f>
        <v>HARD LANDSCAPE</v>
      </c>
      <c r="H81" s="33"/>
      <c r="I81" s="5"/>
      <c r="J81" s="224"/>
      <c r="K81" s="224"/>
      <c r="L81" s="224"/>
      <c r="M81" s="224"/>
      <c r="N81" s="224"/>
      <c r="O81" s="224"/>
      <c r="P81" s="224"/>
      <c r="Q81" s="224"/>
      <c r="R81" s="224"/>
      <c r="S81" s="224"/>
      <c r="T81" s="224"/>
      <c r="U81" s="224"/>
      <c r="V81" s="224"/>
      <c r="W81" s="224"/>
      <c r="X81" s="224"/>
      <c r="Y81" s="224"/>
      <c r="Z81" s="224"/>
      <c r="AA81" s="224"/>
      <c r="AB81" s="224"/>
      <c r="AC81" s="224"/>
      <c r="AD81" s="224"/>
      <c r="AE81" s="224"/>
      <c r="AF81" s="224"/>
      <c r="AG81" s="224"/>
      <c r="AH81" s="224"/>
      <c r="AI81" s="224"/>
      <c r="AJ81" s="224"/>
      <c r="AK81" s="224"/>
      <c r="AL81" s="224"/>
      <c r="AM81" s="224"/>
      <c r="AN81" s="224"/>
      <c r="AO81" s="224"/>
      <c r="AP81" s="224"/>
      <c r="AQ81" s="224"/>
      <c r="AR81" s="224"/>
      <c r="AS81" s="224"/>
    </row>
    <row r="82" spans="1:45" hidden="1" outlineLevel="1">
      <c r="B82" s="49" t="str">
        <f>'Input - Option 2 Detailed Input'!C101</f>
        <v>Civil Engineering and Excavation Costs</v>
      </c>
      <c r="C82" s="40" t="str">
        <f>'Input - Option 2 Detailed Input'!G101</f>
        <v>Total Costs excl. inflation</v>
      </c>
      <c r="H82" s="33"/>
      <c r="I82" s="5"/>
      <c r="J82" s="224"/>
      <c r="K82" s="224"/>
      <c r="L82" s="224"/>
      <c r="M82" s="224"/>
      <c r="N82" s="224"/>
      <c r="O82" s="224"/>
      <c r="P82" s="224"/>
      <c r="Q82" s="224"/>
      <c r="R82" s="224"/>
      <c r="S82" s="224"/>
      <c r="T82" s="224"/>
      <c r="U82" s="224"/>
      <c r="V82" s="224"/>
      <c r="W82" s="224"/>
      <c r="X82" s="224"/>
      <c r="Y82" s="224"/>
      <c r="Z82" s="224"/>
      <c r="AA82" s="224"/>
      <c r="AB82" s="224"/>
      <c r="AC82" s="224"/>
      <c r="AD82" s="224"/>
      <c r="AE82" s="224"/>
      <c r="AF82" s="224"/>
      <c r="AG82" s="224"/>
      <c r="AH82" s="224"/>
      <c r="AI82" s="224"/>
      <c r="AJ82" s="224"/>
      <c r="AK82" s="224"/>
      <c r="AL82" s="224"/>
      <c r="AM82" s="224"/>
      <c r="AN82" s="224"/>
      <c r="AO82" s="224"/>
      <c r="AP82" s="224"/>
      <c r="AQ82" s="224"/>
      <c r="AR82" s="224"/>
      <c r="AS82" s="224"/>
    </row>
    <row r="83" spans="1:45" hidden="1" outlineLevel="1">
      <c r="A83" s="168" t="str">
        <f>'Input - Option 2 Detailed Input'!B102</f>
        <v>General Labour Costs</v>
      </c>
      <c r="B83" s="20" t="str">
        <f>'Input - Option 2 Detailed Input'!C102</f>
        <v>Urban Tree Planting Labour</v>
      </c>
      <c r="C83" s="272">
        <f>'Input - Option 2 Detailed Input'!G102</f>
        <v>0</v>
      </c>
      <c r="H83" s="343">
        <f t="shared" ref="H83:H94" si="22">SUM(J83:EJ83)</f>
        <v>0</v>
      </c>
      <c r="I83" s="211"/>
      <c r="J83" s="224">
        <f>-IF(AND(J$3&gt;=$C$58,J$3&lt;=$D$58),($C83)*J$4,)</f>
        <v>0</v>
      </c>
      <c r="K83" s="224">
        <f t="shared" ref="K83:AS90" si="23">-IF(AND(K$3&gt;=$C$58,K$3&lt;=$D$58),($C83)*K$4,)</f>
        <v>0</v>
      </c>
      <c r="L83" s="224">
        <f t="shared" si="23"/>
        <v>0</v>
      </c>
      <c r="M83" s="224">
        <f t="shared" si="23"/>
        <v>0</v>
      </c>
      <c r="N83" s="224">
        <f t="shared" si="23"/>
        <v>0</v>
      </c>
      <c r="O83" s="224">
        <f t="shared" si="23"/>
        <v>0</v>
      </c>
      <c r="P83" s="224">
        <f t="shared" si="23"/>
        <v>0</v>
      </c>
      <c r="Q83" s="224">
        <f t="shared" si="23"/>
        <v>0</v>
      </c>
      <c r="R83" s="224">
        <f t="shared" si="23"/>
        <v>0</v>
      </c>
      <c r="S83" s="224">
        <f t="shared" si="23"/>
        <v>0</v>
      </c>
      <c r="T83" s="224">
        <f t="shared" si="23"/>
        <v>0</v>
      </c>
      <c r="U83" s="224">
        <f t="shared" si="23"/>
        <v>0</v>
      </c>
      <c r="V83" s="224">
        <f t="shared" si="23"/>
        <v>0</v>
      </c>
      <c r="W83" s="224">
        <f t="shared" si="23"/>
        <v>0</v>
      </c>
      <c r="X83" s="224">
        <f t="shared" si="23"/>
        <v>0</v>
      </c>
      <c r="Y83" s="224">
        <f t="shared" si="23"/>
        <v>0</v>
      </c>
      <c r="Z83" s="224">
        <f t="shared" si="23"/>
        <v>0</v>
      </c>
      <c r="AA83" s="224">
        <f t="shared" si="23"/>
        <v>0</v>
      </c>
      <c r="AB83" s="224">
        <f t="shared" si="23"/>
        <v>0</v>
      </c>
      <c r="AC83" s="224">
        <f t="shared" si="23"/>
        <v>0</v>
      </c>
      <c r="AD83" s="224">
        <f t="shared" si="23"/>
        <v>0</v>
      </c>
      <c r="AE83" s="224">
        <f t="shared" si="23"/>
        <v>0</v>
      </c>
      <c r="AF83" s="224">
        <f t="shared" si="23"/>
        <v>0</v>
      </c>
      <c r="AG83" s="224">
        <f t="shared" si="23"/>
        <v>0</v>
      </c>
      <c r="AH83" s="224">
        <f t="shared" si="23"/>
        <v>0</v>
      </c>
      <c r="AI83" s="224">
        <f t="shared" si="23"/>
        <v>0</v>
      </c>
      <c r="AJ83" s="224">
        <f t="shared" si="23"/>
        <v>0</v>
      </c>
      <c r="AK83" s="224">
        <f t="shared" si="23"/>
        <v>0</v>
      </c>
      <c r="AL83" s="224">
        <f t="shared" si="23"/>
        <v>0</v>
      </c>
      <c r="AM83" s="224">
        <f t="shared" si="23"/>
        <v>0</v>
      </c>
      <c r="AN83" s="224">
        <f t="shared" si="23"/>
        <v>0</v>
      </c>
      <c r="AO83" s="224">
        <f t="shared" si="23"/>
        <v>0</v>
      </c>
      <c r="AP83" s="224">
        <f t="shared" si="23"/>
        <v>0</v>
      </c>
      <c r="AQ83" s="224">
        <f t="shared" si="23"/>
        <v>0</v>
      </c>
      <c r="AR83" s="224">
        <f t="shared" si="23"/>
        <v>0</v>
      </c>
      <c r="AS83" s="224">
        <f t="shared" si="23"/>
        <v>0</v>
      </c>
    </row>
    <row r="84" spans="1:45" hidden="1" outlineLevel="1">
      <c r="A84" s="446" t="str">
        <f>'Input - Option 2 Detailed Input'!B104</f>
        <v>Demolition &amp; Removal</v>
      </c>
      <c r="B84" s="20" t="str">
        <f>'Input - Option 2 Detailed Input'!C104</f>
        <v>Mark Area, Cut and Break Hard Surface</v>
      </c>
      <c r="C84" s="272">
        <f>'Input - Option 2 Detailed Input'!G104</f>
        <v>0</v>
      </c>
      <c r="H84" s="343">
        <f t="shared" si="22"/>
        <v>0</v>
      </c>
      <c r="I84" s="211"/>
      <c r="J84" s="224">
        <f t="shared" ref="J84:Y95" si="24">-IF(AND(J$3&gt;=$C$58,J$3&lt;=$D$58),($C84)*J$4,)</f>
        <v>0</v>
      </c>
      <c r="K84" s="224">
        <f t="shared" si="24"/>
        <v>0</v>
      </c>
      <c r="L84" s="224">
        <f t="shared" si="24"/>
        <v>0</v>
      </c>
      <c r="M84" s="224">
        <f t="shared" si="24"/>
        <v>0</v>
      </c>
      <c r="N84" s="224">
        <f t="shared" si="24"/>
        <v>0</v>
      </c>
      <c r="O84" s="224">
        <f t="shared" si="24"/>
        <v>0</v>
      </c>
      <c r="P84" s="224">
        <f t="shared" si="24"/>
        <v>0</v>
      </c>
      <c r="Q84" s="224">
        <f t="shared" si="24"/>
        <v>0</v>
      </c>
      <c r="R84" s="224">
        <f t="shared" si="24"/>
        <v>0</v>
      </c>
      <c r="S84" s="224">
        <f t="shared" si="24"/>
        <v>0</v>
      </c>
      <c r="T84" s="224">
        <f t="shared" si="24"/>
        <v>0</v>
      </c>
      <c r="U84" s="224">
        <f t="shared" si="24"/>
        <v>0</v>
      </c>
      <c r="V84" s="224">
        <f t="shared" si="24"/>
        <v>0</v>
      </c>
      <c r="W84" s="224">
        <f t="shared" si="24"/>
        <v>0</v>
      </c>
      <c r="X84" s="224">
        <f t="shared" si="24"/>
        <v>0</v>
      </c>
      <c r="Y84" s="224">
        <f t="shared" si="24"/>
        <v>0</v>
      </c>
      <c r="Z84" s="224">
        <f t="shared" si="23"/>
        <v>0</v>
      </c>
      <c r="AA84" s="224">
        <f t="shared" si="23"/>
        <v>0</v>
      </c>
      <c r="AB84" s="224">
        <f t="shared" si="23"/>
        <v>0</v>
      </c>
      <c r="AC84" s="224">
        <f t="shared" si="23"/>
        <v>0</v>
      </c>
      <c r="AD84" s="224">
        <f t="shared" si="23"/>
        <v>0</v>
      </c>
      <c r="AE84" s="224">
        <f t="shared" si="23"/>
        <v>0</v>
      </c>
      <c r="AF84" s="224">
        <f t="shared" si="23"/>
        <v>0</v>
      </c>
      <c r="AG84" s="224">
        <f t="shared" si="23"/>
        <v>0</v>
      </c>
      <c r="AH84" s="224">
        <f t="shared" si="23"/>
        <v>0</v>
      </c>
      <c r="AI84" s="224">
        <f t="shared" si="23"/>
        <v>0</v>
      </c>
      <c r="AJ84" s="224">
        <f t="shared" si="23"/>
        <v>0</v>
      </c>
      <c r="AK84" s="224">
        <f t="shared" si="23"/>
        <v>0</v>
      </c>
      <c r="AL84" s="224">
        <f t="shared" si="23"/>
        <v>0</v>
      </c>
      <c r="AM84" s="224">
        <f t="shared" si="23"/>
        <v>0</v>
      </c>
      <c r="AN84" s="224">
        <f t="shared" si="23"/>
        <v>0</v>
      </c>
      <c r="AO84" s="224">
        <f t="shared" si="23"/>
        <v>0</v>
      </c>
      <c r="AP84" s="224">
        <f t="shared" si="23"/>
        <v>0</v>
      </c>
      <c r="AQ84" s="224">
        <f t="shared" si="23"/>
        <v>0</v>
      </c>
      <c r="AR84" s="224">
        <f t="shared" si="23"/>
        <v>0</v>
      </c>
      <c r="AS84" s="224">
        <f t="shared" si="23"/>
        <v>0</v>
      </c>
    </row>
    <row r="85" spans="1:45" hidden="1" outlineLevel="1">
      <c r="A85" s="446"/>
      <c r="B85" s="20" t="str">
        <f>'Input - Option 2 Detailed Input'!C105</f>
        <v>Other Demolition</v>
      </c>
      <c r="C85" s="272">
        <f>'Input - Option 2 Detailed Input'!G105</f>
        <v>0</v>
      </c>
      <c r="H85" s="343">
        <f t="shared" si="22"/>
        <v>0</v>
      </c>
      <c r="I85" s="211"/>
      <c r="J85" s="224">
        <f t="shared" si="24"/>
        <v>0</v>
      </c>
      <c r="K85" s="224">
        <f t="shared" si="23"/>
        <v>0</v>
      </c>
      <c r="L85" s="224">
        <f t="shared" si="23"/>
        <v>0</v>
      </c>
      <c r="M85" s="224">
        <f t="shared" si="23"/>
        <v>0</v>
      </c>
      <c r="N85" s="224">
        <f t="shared" si="23"/>
        <v>0</v>
      </c>
      <c r="O85" s="224">
        <f t="shared" si="23"/>
        <v>0</v>
      </c>
      <c r="P85" s="224">
        <f t="shared" si="23"/>
        <v>0</v>
      </c>
      <c r="Q85" s="224">
        <f t="shared" si="23"/>
        <v>0</v>
      </c>
      <c r="R85" s="224">
        <f t="shared" si="23"/>
        <v>0</v>
      </c>
      <c r="S85" s="224">
        <f t="shared" si="23"/>
        <v>0</v>
      </c>
      <c r="T85" s="224">
        <f t="shared" si="23"/>
        <v>0</v>
      </c>
      <c r="U85" s="224">
        <f t="shared" si="23"/>
        <v>0</v>
      </c>
      <c r="V85" s="224">
        <f t="shared" si="23"/>
        <v>0</v>
      </c>
      <c r="W85" s="224">
        <f t="shared" si="23"/>
        <v>0</v>
      </c>
      <c r="X85" s="224">
        <f t="shared" si="23"/>
        <v>0</v>
      </c>
      <c r="Y85" s="224">
        <f t="shared" si="23"/>
        <v>0</v>
      </c>
      <c r="Z85" s="224">
        <f t="shared" si="23"/>
        <v>0</v>
      </c>
      <c r="AA85" s="224">
        <f t="shared" si="23"/>
        <v>0</v>
      </c>
      <c r="AB85" s="224">
        <f t="shared" si="23"/>
        <v>0</v>
      </c>
      <c r="AC85" s="224">
        <f t="shared" si="23"/>
        <v>0</v>
      </c>
      <c r="AD85" s="224">
        <f t="shared" si="23"/>
        <v>0</v>
      </c>
      <c r="AE85" s="224">
        <f t="shared" si="23"/>
        <v>0</v>
      </c>
      <c r="AF85" s="224">
        <f t="shared" si="23"/>
        <v>0</v>
      </c>
      <c r="AG85" s="224">
        <f t="shared" si="23"/>
        <v>0</v>
      </c>
      <c r="AH85" s="224">
        <f t="shared" si="23"/>
        <v>0</v>
      </c>
      <c r="AI85" s="224">
        <f t="shared" si="23"/>
        <v>0</v>
      </c>
      <c r="AJ85" s="224">
        <f t="shared" si="23"/>
        <v>0</v>
      </c>
      <c r="AK85" s="224">
        <f t="shared" si="23"/>
        <v>0</v>
      </c>
      <c r="AL85" s="224">
        <f t="shared" si="23"/>
        <v>0</v>
      </c>
      <c r="AM85" s="224">
        <f t="shared" si="23"/>
        <v>0</v>
      </c>
      <c r="AN85" s="224">
        <f t="shared" si="23"/>
        <v>0</v>
      </c>
      <c r="AO85" s="224">
        <f t="shared" si="23"/>
        <v>0</v>
      </c>
      <c r="AP85" s="224">
        <f t="shared" si="23"/>
        <v>0</v>
      </c>
      <c r="AQ85" s="224">
        <f t="shared" si="23"/>
        <v>0</v>
      </c>
      <c r="AR85" s="224">
        <f t="shared" si="23"/>
        <v>0</v>
      </c>
      <c r="AS85" s="224">
        <f t="shared" si="23"/>
        <v>0</v>
      </c>
    </row>
    <row r="86" spans="1:45" hidden="1" outlineLevel="1">
      <c r="A86" s="446"/>
      <c r="B86" s="20" t="str">
        <f>'Input - Option 2 Detailed Input'!C106</f>
        <v>Removal of Contaminated Soils / Excavating Spoils</v>
      </c>
      <c r="C86" s="272">
        <f>'Input - Option 2 Detailed Input'!G106</f>
        <v>0</v>
      </c>
      <c r="H86" s="343">
        <f t="shared" si="22"/>
        <v>0</v>
      </c>
      <c r="I86" s="211"/>
      <c r="J86" s="224">
        <f t="shared" si="24"/>
        <v>0</v>
      </c>
      <c r="K86" s="224">
        <f t="shared" si="23"/>
        <v>0</v>
      </c>
      <c r="L86" s="224">
        <f t="shared" si="23"/>
        <v>0</v>
      </c>
      <c r="M86" s="224">
        <f t="shared" si="23"/>
        <v>0</v>
      </c>
      <c r="N86" s="224">
        <f t="shared" si="23"/>
        <v>0</v>
      </c>
      <c r="O86" s="224">
        <f t="shared" si="23"/>
        <v>0</v>
      </c>
      <c r="P86" s="224">
        <f t="shared" si="23"/>
        <v>0</v>
      </c>
      <c r="Q86" s="224">
        <f t="shared" si="23"/>
        <v>0</v>
      </c>
      <c r="R86" s="224">
        <f t="shared" si="23"/>
        <v>0</v>
      </c>
      <c r="S86" s="224">
        <f t="shared" si="23"/>
        <v>0</v>
      </c>
      <c r="T86" s="224">
        <f t="shared" si="23"/>
        <v>0</v>
      </c>
      <c r="U86" s="224">
        <f t="shared" si="23"/>
        <v>0</v>
      </c>
      <c r="V86" s="224">
        <f t="shared" si="23"/>
        <v>0</v>
      </c>
      <c r="W86" s="224">
        <f t="shared" si="23"/>
        <v>0</v>
      </c>
      <c r="X86" s="224">
        <f t="shared" si="23"/>
        <v>0</v>
      </c>
      <c r="Y86" s="224">
        <f t="shared" si="23"/>
        <v>0</v>
      </c>
      <c r="Z86" s="224">
        <f t="shared" si="23"/>
        <v>0</v>
      </c>
      <c r="AA86" s="224">
        <f t="shared" si="23"/>
        <v>0</v>
      </c>
      <c r="AB86" s="224">
        <f t="shared" si="23"/>
        <v>0</v>
      </c>
      <c r="AC86" s="224">
        <f t="shared" si="23"/>
        <v>0</v>
      </c>
      <c r="AD86" s="224">
        <f t="shared" si="23"/>
        <v>0</v>
      </c>
      <c r="AE86" s="224">
        <f t="shared" si="23"/>
        <v>0</v>
      </c>
      <c r="AF86" s="224">
        <f t="shared" si="23"/>
        <v>0</v>
      </c>
      <c r="AG86" s="224">
        <f t="shared" si="23"/>
        <v>0</v>
      </c>
      <c r="AH86" s="224">
        <f t="shared" si="23"/>
        <v>0</v>
      </c>
      <c r="AI86" s="224">
        <f t="shared" si="23"/>
        <v>0</v>
      </c>
      <c r="AJ86" s="224">
        <f t="shared" si="23"/>
        <v>0</v>
      </c>
      <c r="AK86" s="224">
        <f t="shared" si="23"/>
        <v>0</v>
      </c>
      <c r="AL86" s="224">
        <f t="shared" si="23"/>
        <v>0</v>
      </c>
      <c r="AM86" s="224">
        <f t="shared" si="23"/>
        <v>0</v>
      </c>
      <c r="AN86" s="224">
        <f t="shared" si="23"/>
        <v>0</v>
      </c>
      <c r="AO86" s="224">
        <f t="shared" si="23"/>
        <v>0</v>
      </c>
      <c r="AP86" s="224">
        <f t="shared" si="23"/>
        <v>0</v>
      </c>
      <c r="AQ86" s="224">
        <f t="shared" si="23"/>
        <v>0</v>
      </c>
      <c r="AR86" s="224">
        <f t="shared" si="23"/>
        <v>0</v>
      </c>
      <c r="AS86" s="224">
        <f t="shared" si="23"/>
        <v>0</v>
      </c>
    </row>
    <row r="87" spans="1:45" hidden="1" outlineLevel="1">
      <c r="A87" s="446" t="str">
        <f>'Input - Option 2 Detailed Input'!B107</f>
        <v>Installation</v>
      </c>
      <c r="B87" s="20" t="str">
        <f>'Input - Option 2 Detailed Input'!C107</f>
        <v>Creating a Build-out</v>
      </c>
      <c r="C87" s="272">
        <f>'Input - Option 2 Detailed Input'!G107</f>
        <v>0</v>
      </c>
      <c r="H87" s="343">
        <f t="shared" si="22"/>
        <v>0</v>
      </c>
      <c r="I87" s="211"/>
      <c r="J87" s="224">
        <f t="shared" si="24"/>
        <v>0</v>
      </c>
      <c r="K87" s="224">
        <f t="shared" si="23"/>
        <v>0</v>
      </c>
      <c r="L87" s="224">
        <f t="shared" si="23"/>
        <v>0</v>
      </c>
      <c r="M87" s="224">
        <f t="shared" si="23"/>
        <v>0</v>
      </c>
      <c r="N87" s="224">
        <f t="shared" si="23"/>
        <v>0</v>
      </c>
      <c r="O87" s="224">
        <f t="shared" si="23"/>
        <v>0</v>
      </c>
      <c r="P87" s="224">
        <f t="shared" si="23"/>
        <v>0</v>
      </c>
      <c r="Q87" s="224">
        <f t="shared" si="23"/>
        <v>0</v>
      </c>
      <c r="R87" s="224">
        <f t="shared" si="23"/>
        <v>0</v>
      </c>
      <c r="S87" s="224">
        <f t="shared" si="23"/>
        <v>0</v>
      </c>
      <c r="T87" s="224">
        <f t="shared" si="23"/>
        <v>0</v>
      </c>
      <c r="U87" s="224">
        <f t="shared" si="23"/>
        <v>0</v>
      </c>
      <c r="V87" s="224">
        <f t="shared" si="23"/>
        <v>0</v>
      </c>
      <c r="W87" s="224">
        <f t="shared" si="23"/>
        <v>0</v>
      </c>
      <c r="X87" s="224">
        <f t="shared" si="23"/>
        <v>0</v>
      </c>
      <c r="Y87" s="224">
        <f t="shared" si="23"/>
        <v>0</v>
      </c>
      <c r="Z87" s="224">
        <f t="shared" si="23"/>
        <v>0</v>
      </c>
      <c r="AA87" s="224">
        <f t="shared" si="23"/>
        <v>0</v>
      </c>
      <c r="AB87" s="224">
        <f t="shared" si="23"/>
        <v>0</v>
      </c>
      <c r="AC87" s="224">
        <f t="shared" si="23"/>
        <v>0</v>
      </c>
      <c r="AD87" s="224">
        <f t="shared" si="23"/>
        <v>0</v>
      </c>
      <c r="AE87" s="224">
        <f t="shared" si="23"/>
        <v>0</v>
      </c>
      <c r="AF87" s="224">
        <f t="shared" si="23"/>
        <v>0</v>
      </c>
      <c r="AG87" s="224">
        <f t="shared" si="23"/>
        <v>0</v>
      </c>
      <c r="AH87" s="224">
        <f t="shared" si="23"/>
        <v>0</v>
      </c>
      <c r="AI87" s="224">
        <f t="shared" si="23"/>
        <v>0</v>
      </c>
      <c r="AJ87" s="224">
        <f t="shared" si="23"/>
        <v>0</v>
      </c>
      <c r="AK87" s="224">
        <f t="shared" si="23"/>
        <v>0</v>
      </c>
      <c r="AL87" s="224">
        <f t="shared" si="23"/>
        <v>0</v>
      </c>
      <c r="AM87" s="224">
        <f t="shared" si="23"/>
        <v>0</v>
      </c>
      <c r="AN87" s="224">
        <f t="shared" si="23"/>
        <v>0</v>
      </c>
      <c r="AO87" s="224">
        <f t="shared" si="23"/>
        <v>0</v>
      </c>
      <c r="AP87" s="224">
        <f t="shared" si="23"/>
        <v>0</v>
      </c>
      <c r="AQ87" s="224">
        <f t="shared" si="23"/>
        <v>0</v>
      </c>
      <c r="AR87" s="224">
        <f t="shared" si="23"/>
        <v>0</v>
      </c>
      <c r="AS87" s="224">
        <f t="shared" si="23"/>
        <v>0</v>
      </c>
    </row>
    <row r="88" spans="1:45" hidden="1" outlineLevel="1">
      <c r="A88" s="446"/>
      <c r="B88" s="20" t="str">
        <f>'Input - Option 2 Detailed Input'!C108</f>
        <v>Ground Anchoring or Stakes</v>
      </c>
      <c r="C88" s="272">
        <f>'Input - Option 2 Detailed Input'!G108</f>
        <v>0</v>
      </c>
      <c r="H88" s="343">
        <f t="shared" si="22"/>
        <v>0</v>
      </c>
      <c r="I88" s="211"/>
      <c r="J88" s="224">
        <f t="shared" si="24"/>
        <v>0</v>
      </c>
      <c r="K88" s="224">
        <f t="shared" si="23"/>
        <v>0</v>
      </c>
      <c r="L88" s="224">
        <f t="shared" si="23"/>
        <v>0</v>
      </c>
      <c r="M88" s="224">
        <f t="shared" si="23"/>
        <v>0</v>
      </c>
      <c r="N88" s="224">
        <f t="shared" si="23"/>
        <v>0</v>
      </c>
      <c r="O88" s="224">
        <f t="shared" si="23"/>
        <v>0</v>
      </c>
      <c r="P88" s="224">
        <f t="shared" si="23"/>
        <v>0</v>
      </c>
      <c r="Q88" s="224">
        <f t="shared" si="23"/>
        <v>0</v>
      </c>
      <c r="R88" s="224">
        <f t="shared" si="23"/>
        <v>0</v>
      </c>
      <c r="S88" s="224">
        <f t="shared" si="23"/>
        <v>0</v>
      </c>
      <c r="T88" s="224">
        <f t="shared" si="23"/>
        <v>0</v>
      </c>
      <c r="U88" s="224">
        <f t="shared" si="23"/>
        <v>0</v>
      </c>
      <c r="V88" s="224">
        <f t="shared" si="23"/>
        <v>0</v>
      </c>
      <c r="W88" s="224">
        <f t="shared" si="23"/>
        <v>0</v>
      </c>
      <c r="X88" s="224">
        <f t="shared" si="23"/>
        <v>0</v>
      </c>
      <c r="Y88" s="224">
        <f t="shared" si="23"/>
        <v>0</v>
      </c>
      <c r="Z88" s="224">
        <f t="shared" si="23"/>
        <v>0</v>
      </c>
      <c r="AA88" s="224">
        <f t="shared" si="23"/>
        <v>0</v>
      </c>
      <c r="AB88" s="224">
        <f t="shared" si="23"/>
        <v>0</v>
      </c>
      <c r="AC88" s="224">
        <f t="shared" si="23"/>
        <v>0</v>
      </c>
      <c r="AD88" s="224">
        <f t="shared" si="23"/>
        <v>0</v>
      </c>
      <c r="AE88" s="224">
        <f t="shared" si="23"/>
        <v>0</v>
      </c>
      <c r="AF88" s="224">
        <f t="shared" si="23"/>
        <v>0</v>
      </c>
      <c r="AG88" s="224">
        <f t="shared" si="23"/>
        <v>0</v>
      </c>
      <c r="AH88" s="224">
        <f t="shared" si="23"/>
        <v>0</v>
      </c>
      <c r="AI88" s="224">
        <f t="shared" si="23"/>
        <v>0</v>
      </c>
      <c r="AJ88" s="224">
        <f t="shared" si="23"/>
        <v>0</v>
      </c>
      <c r="AK88" s="224">
        <f t="shared" si="23"/>
        <v>0</v>
      </c>
      <c r="AL88" s="224">
        <f t="shared" si="23"/>
        <v>0</v>
      </c>
      <c r="AM88" s="224">
        <f t="shared" si="23"/>
        <v>0</v>
      </c>
      <c r="AN88" s="224">
        <f t="shared" si="23"/>
        <v>0</v>
      </c>
      <c r="AO88" s="224">
        <f t="shared" si="23"/>
        <v>0</v>
      </c>
      <c r="AP88" s="224">
        <f t="shared" si="23"/>
        <v>0</v>
      </c>
      <c r="AQ88" s="224">
        <f t="shared" si="23"/>
        <v>0</v>
      </c>
      <c r="AR88" s="224">
        <f t="shared" si="23"/>
        <v>0</v>
      </c>
      <c r="AS88" s="224">
        <f t="shared" si="23"/>
        <v>0</v>
      </c>
    </row>
    <row r="89" spans="1:45" hidden="1" outlineLevel="1">
      <c r="A89" s="446"/>
      <c r="B89" s="20" t="str">
        <f>'Input - Option 2 Detailed Input'!C109</f>
        <v>Tree Installation</v>
      </c>
      <c r="C89" s="272">
        <f>'Input - Option 2 Detailed Input'!G109</f>
        <v>0</v>
      </c>
      <c r="H89" s="343">
        <f t="shared" si="22"/>
        <v>0</v>
      </c>
      <c r="I89" s="211"/>
      <c r="J89" s="224">
        <f t="shared" si="24"/>
        <v>0</v>
      </c>
      <c r="K89" s="224">
        <f t="shared" si="23"/>
        <v>0</v>
      </c>
      <c r="L89" s="224">
        <f t="shared" si="23"/>
        <v>0</v>
      </c>
      <c r="M89" s="224">
        <f t="shared" si="23"/>
        <v>0</v>
      </c>
      <c r="N89" s="224">
        <f t="shared" si="23"/>
        <v>0</v>
      </c>
      <c r="O89" s="224">
        <f t="shared" si="23"/>
        <v>0</v>
      </c>
      <c r="P89" s="224">
        <f t="shared" si="23"/>
        <v>0</v>
      </c>
      <c r="Q89" s="224">
        <f t="shared" si="23"/>
        <v>0</v>
      </c>
      <c r="R89" s="224">
        <f t="shared" si="23"/>
        <v>0</v>
      </c>
      <c r="S89" s="224">
        <f t="shared" si="23"/>
        <v>0</v>
      </c>
      <c r="T89" s="224">
        <f t="shared" si="23"/>
        <v>0</v>
      </c>
      <c r="U89" s="224">
        <f t="shared" si="23"/>
        <v>0</v>
      </c>
      <c r="V89" s="224">
        <f t="shared" si="23"/>
        <v>0</v>
      </c>
      <c r="W89" s="224">
        <f t="shared" si="23"/>
        <v>0</v>
      </c>
      <c r="X89" s="224">
        <f t="shared" si="23"/>
        <v>0</v>
      </c>
      <c r="Y89" s="224">
        <f t="shared" si="23"/>
        <v>0</v>
      </c>
      <c r="Z89" s="224">
        <f t="shared" si="23"/>
        <v>0</v>
      </c>
      <c r="AA89" s="224">
        <f t="shared" si="23"/>
        <v>0</v>
      </c>
      <c r="AB89" s="224">
        <f t="shared" si="23"/>
        <v>0</v>
      </c>
      <c r="AC89" s="224">
        <f t="shared" si="23"/>
        <v>0</v>
      </c>
      <c r="AD89" s="224">
        <f t="shared" si="23"/>
        <v>0</v>
      </c>
      <c r="AE89" s="224">
        <f t="shared" si="23"/>
        <v>0</v>
      </c>
      <c r="AF89" s="224">
        <f t="shared" si="23"/>
        <v>0</v>
      </c>
      <c r="AG89" s="224">
        <f t="shared" si="23"/>
        <v>0</v>
      </c>
      <c r="AH89" s="224">
        <f t="shared" si="23"/>
        <v>0</v>
      </c>
      <c r="AI89" s="224">
        <f t="shared" si="23"/>
        <v>0</v>
      </c>
      <c r="AJ89" s="224">
        <f t="shared" si="23"/>
        <v>0</v>
      </c>
      <c r="AK89" s="224">
        <f t="shared" si="23"/>
        <v>0</v>
      </c>
      <c r="AL89" s="224">
        <f t="shared" si="23"/>
        <v>0</v>
      </c>
      <c r="AM89" s="224">
        <f t="shared" si="23"/>
        <v>0</v>
      </c>
      <c r="AN89" s="224">
        <f t="shared" si="23"/>
        <v>0</v>
      </c>
      <c r="AO89" s="224">
        <f t="shared" si="23"/>
        <v>0</v>
      </c>
      <c r="AP89" s="224">
        <f t="shared" si="23"/>
        <v>0</v>
      </c>
      <c r="AQ89" s="224">
        <f t="shared" si="23"/>
        <v>0</v>
      </c>
      <c r="AR89" s="224">
        <f t="shared" si="23"/>
        <v>0</v>
      </c>
      <c r="AS89" s="224">
        <f t="shared" si="23"/>
        <v>0</v>
      </c>
    </row>
    <row r="90" spans="1:45" hidden="1" outlineLevel="1">
      <c r="A90" s="446"/>
      <c r="B90" s="20" t="str">
        <f>'Input - Option 2 Detailed Input'!C110</f>
        <v>Specialised Planting Infrastructure (e.g. cells, concrete)</v>
      </c>
      <c r="C90" s="272">
        <f>'Input - Option 2 Detailed Input'!G110</f>
        <v>0</v>
      </c>
      <c r="H90" s="343">
        <f t="shared" si="22"/>
        <v>0</v>
      </c>
      <c r="I90" s="211"/>
      <c r="J90" s="224">
        <f t="shared" si="24"/>
        <v>0</v>
      </c>
      <c r="K90" s="224">
        <f t="shared" si="23"/>
        <v>0</v>
      </c>
      <c r="L90" s="224">
        <f t="shared" si="23"/>
        <v>0</v>
      </c>
      <c r="M90" s="224">
        <f t="shared" si="23"/>
        <v>0</v>
      </c>
      <c r="N90" s="224">
        <f t="shared" si="23"/>
        <v>0</v>
      </c>
      <c r="O90" s="224">
        <f t="shared" si="23"/>
        <v>0</v>
      </c>
      <c r="P90" s="224">
        <f t="shared" si="23"/>
        <v>0</v>
      </c>
      <c r="Q90" s="224">
        <f t="shared" si="23"/>
        <v>0</v>
      </c>
      <c r="R90" s="224">
        <f t="shared" si="23"/>
        <v>0</v>
      </c>
      <c r="S90" s="224">
        <f t="shared" si="23"/>
        <v>0</v>
      </c>
      <c r="T90" s="224">
        <f t="shared" si="23"/>
        <v>0</v>
      </c>
      <c r="U90" s="224">
        <f t="shared" si="23"/>
        <v>0</v>
      </c>
      <c r="V90" s="224">
        <f t="shared" si="23"/>
        <v>0</v>
      </c>
      <c r="W90" s="224">
        <f t="shared" si="23"/>
        <v>0</v>
      </c>
      <c r="X90" s="224">
        <f t="shared" si="23"/>
        <v>0</v>
      </c>
      <c r="Y90" s="224">
        <f t="shared" si="23"/>
        <v>0</v>
      </c>
      <c r="Z90" s="224">
        <f t="shared" si="23"/>
        <v>0</v>
      </c>
      <c r="AA90" s="224">
        <f t="shared" si="23"/>
        <v>0</v>
      </c>
      <c r="AB90" s="224">
        <f t="shared" si="23"/>
        <v>0</v>
      </c>
      <c r="AC90" s="224">
        <f t="shared" si="23"/>
        <v>0</v>
      </c>
      <c r="AD90" s="224">
        <f t="shared" si="23"/>
        <v>0</v>
      </c>
      <c r="AE90" s="224">
        <f t="shared" si="23"/>
        <v>0</v>
      </c>
      <c r="AF90" s="224">
        <f t="shared" si="23"/>
        <v>0</v>
      </c>
      <c r="AG90" s="224">
        <f t="shared" si="23"/>
        <v>0</v>
      </c>
      <c r="AH90" s="224">
        <f t="shared" si="23"/>
        <v>0</v>
      </c>
      <c r="AI90" s="224">
        <f t="shared" si="23"/>
        <v>0</v>
      </c>
      <c r="AJ90" s="224">
        <f t="shared" ref="K90:AS95" si="25">-IF(AND(AJ$3&gt;=$C$58,AJ$3&lt;=$D$58),($C90)*AJ$4,)</f>
        <v>0</v>
      </c>
      <c r="AK90" s="224">
        <f t="shared" si="25"/>
        <v>0</v>
      </c>
      <c r="AL90" s="224">
        <f t="shared" si="25"/>
        <v>0</v>
      </c>
      <c r="AM90" s="224">
        <f t="shared" si="25"/>
        <v>0</v>
      </c>
      <c r="AN90" s="224">
        <f t="shared" si="25"/>
        <v>0</v>
      </c>
      <c r="AO90" s="224">
        <f t="shared" si="25"/>
        <v>0</v>
      </c>
      <c r="AP90" s="224">
        <f t="shared" si="25"/>
        <v>0</v>
      </c>
      <c r="AQ90" s="224">
        <f t="shared" si="25"/>
        <v>0</v>
      </c>
      <c r="AR90" s="224">
        <f t="shared" si="25"/>
        <v>0</v>
      </c>
      <c r="AS90" s="224">
        <f t="shared" si="25"/>
        <v>0</v>
      </c>
    </row>
    <row r="91" spans="1:45" hidden="1" outlineLevel="1">
      <c r="A91" s="446"/>
      <c r="B91" s="20" t="str">
        <f>'Input - Option 2 Detailed Input'!C112</f>
        <v>Cost of Planting Medium</v>
      </c>
      <c r="C91" s="272">
        <f>'Input - Option 2 Detailed Input'!G111</f>
        <v>0</v>
      </c>
      <c r="H91" s="343">
        <f t="shared" si="22"/>
        <v>0</v>
      </c>
      <c r="I91" s="211"/>
      <c r="J91" s="224">
        <f t="shared" si="24"/>
        <v>0</v>
      </c>
      <c r="K91" s="224">
        <f t="shared" si="25"/>
        <v>0</v>
      </c>
      <c r="L91" s="224">
        <f t="shared" si="25"/>
        <v>0</v>
      </c>
      <c r="M91" s="224">
        <f t="shared" si="25"/>
        <v>0</v>
      </c>
      <c r="N91" s="224">
        <f t="shared" si="25"/>
        <v>0</v>
      </c>
      <c r="O91" s="224">
        <f t="shared" si="25"/>
        <v>0</v>
      </c>
      <c r="P91" s="224">
        <f t="shared" si="25"/>
        <v>0</v>
      </c>
      <c r="Q91" s="224">
        <f t="shared" si="25"/>
        <v>0</v>
      </c>
      <c r="R91" s="224">
        <f t="shared" si="25"/>
        <v>0</v>
      </c>
      <c r="S91" s="224">
        <f t="shared" si="25"/>
        <v>0</v>
      </c>
      <c r="T91" s="224">
        <f t="shared" si="25"/>
        <v>0</v>
      </c>
      <c r="U91" s="224">
        <f t="shared" si="25"/>
        <v>0</v>
      </c>
      <c r="V91" s="224">
        <f t="shared" si="25"/>
        <v>0</v>
      </c>
      <c r="W91" s="224">
        <f t="shared" si="25"/>
        <v>0</v>
      </c>
      <c r="X91" s="224">
        <f t="shared" si="25"/>
        <v>0</v>
      </c>
      <c r="Y91" s="224">
        <f t="shared" si="25"/>
        <v>0</v>
      </c>
      <c r="Z91" s="224">
        <f t="shared" si="25"/>
        <v>0</v>
      </c>
      <c r="AA91" s="224">
        <f t="shared" si="25"/>
        <v>0</v>
      </c>
      <c r="AB91" s="224">
        <f t="shared" si="25"/>
        <v>0</v>
      </c>
      <c r="AC91" s="224">
        <f t="shared" si="25"/>
        <v>0</v>
      </c>
      <c r="AD91" s="224">
        <f t="shared" si="25"/>
        <v>0</v>
      </c>
      <c r="AE91" s="224">
        <f t="shared" si="25"/>
        <v>0</v>
      </c>
      <c r="AF91" s="224">
        <f t="shared" si="25"/>
        <v>0</v>
      </c>
      <c r="AG91" s="224">
        <f t="shared" si="25"/>
        <v>0</v>
      </c>
      <c r="AH91" s="224">
        <f t="shared" si="25"/>
        <v>0</v>
      </c>
      <c r="AI91" s="224">
        <f t="shared" si="25"/>
        <v>0</v>
      </c>
      <c r="AJ91" s="224">
        <f t="shared" si="25"/>
        <v>0</v>
      </c>
      <c r="AK91" s="224">
        <f t="shared" si="25"/>
        <v>0</v>
      </c>
      <c r="AL91" s="224">
        <f t="shared" si="25"/>
        <v>0</v>
      </c>
      <c r="AM91" s="224">
        <f t="shared" si="25"/>
        <v>0</v>
      </c>
      <c r="AN91" s="224">
        <f t="shared" si="25"/>
        <v>0</v>
      </c>
      <c r="AO91" s="224">
        <f t="shared" si="25"/>
        <v>0</v>
      </c>
      <c r="AP91" s="224">
        <f t="shared" si="25"/>
        <v>0</v>
      </c>
      <c r="AQ91" s="224">
        <f t="shared" si="25"/>
        <v>0</v>
      </c>
      <c r="AR91" s="224">
        <f t="shared" si="25"/>
        <v>0</v>
      </c>
      <c r="AS91" s="224">
        <f t="shared" si="25"/>
        <v>0</v>
      </c>
    </row>
    <row r="92" spans="1:45" ht="29.1" hidden="1" outlineLevel="1">
      <c r="A92" s="446"/>
      <c r="B92" s="20" t="str">
        <f>'Input - Option 2 Detailed Input'!C113</f>
        <v xml:space="preserve">Surface Treatment for Tree Openning (grass verge treatment, grill/tray/crumb, mulch, etc.) </v>
      </c>
      <c r="C92" s="272">
        <f>'Input - Option 2 Detailed Input'!G113</f>
        <v>0</v>
      </c>
      <c r="H92" s="343">
        <f t="shared" si="22"/>
        <v>0</v>
      </c>
      <c r="I92" s="211"/>
      <c r="J92" s="224">
        <f t="shared" si="24"/>
        <v>0</v>
      </c>
      <c r="K92" s="224">
        <f t="shared" si="25"/>
        <v>0</v>
      </c>
      <c r="L92" s="224">
        <f t="shared" si="25"/>
        <v>0</v>
      </c>
      <c r="M92" s="224">
        <f t="shared" si="25"/>
        <v>0</v>
      </c>
      <c r="N92" s="224">
        <f t="shared" si="25"/>
        <v>0</v>
      </c>
      <c r="O92" s="224">
        <f t="shared" si="25"/>
        <v>0</v>
      </c>
      <c r="P92" s="224">
        <f t="shared" si="25"/>
        <v>0</v>
      </c>
      <c r="Q92" s="224">
        <f t="shared" si="25"/>
        <v>0</v>
      </c>
      <c r="R92" s="224">
        <f t="shared" si="25"/>
        <v>0</v>
      </c>
      <c r="S92" s="224">
        <f t="shared" si="25"/>
        <v>0</v>
      </c>
      <c r="T92" s="224">
        <f t="shared" si="25"/>
        <v>0</v>
      </c>
      <c r="U92" s="224">
        <f t="shared" si="25"/>
        <v>0</v>
      </c>
      <c r="V92" s="224">
        <f t="shared" si="25"/>
        <v>0</v>
      </c>
      <c r="W92" s="224">
        <f t="shared" si="25"/>
        <v>0</v>
      </c>
      <c r="X92" s="224">
        <f t="shared" si="25"/>
        <v>0</v>
      </c>
      <c r="Y92" s="224">
        <f t="shared" si="25"/>
        <v>0</v>
      </c>
      <c r="Z92" s="224">
        <f t="shared" si="25"/>
        <v>0</v>
      </c>
      <c r="AA92" s="224">
        <f t="shared" si="25"/>
        <v>0</v>
      </c>
      <c r="AB92" s="224">
        <f t="shared" si="25"/>
        <v>0</v>
      </c>
      <c r="AC92" s="224">
        <f t="shared" si="25"/>
        <v>0</v>
      </c>
      <c r="AD92" s="224">
        <f t="shared" si="25"/>
        <v>0</v>
      </c>
      <c r="AE92" s="224">
        <f t="shared" si="25"/>
        <v>0</v>
      </c>
      <c r="AF92" s="224">
        <f t="shared" si="25"/>
        <v>0</v>
      </c>
      <c r="AG92" s="224">
        <f t="shared" si="25"/>
        <v>0</v>
      </c>
      <c r="AH92" s="224">
        <f t="shared" si="25"/>
        <v>0</v>
      </c>
      <c r="AI92" s="224">
        <f t="shared" si="25"/>
        <v>0</v>
      </c>
      <c r="AJ92" s="224">
        <f t="shared" si="25"/>
        <v>0</v>
      </c>
      <c r="AK92" s="224">
        <f t="shared" si="25"/>
        <v>0</v>
      </c>
      <c r="AL92" s="224">
        <f t="shared" si="25"/>
        <v>0</v>
      </c>
      <c r="AM92" s="224">
        <f t="shared" si="25"/>
        <v>0</v>
      </c>
      <c r="AN92" s="224">
        <f t="shared" si="25"/>
        <v>0</v>
      </c>
      <c r="AO92" s="224">
        <f t="shared" si="25"/>
        <v>0</v>
      </c>
      <c r="AP92" s="224">
        <f t="shared" si="25"/>
        <v>0</v>
      </c>
      <c r="AQ92" s="224">
        <f t="shared" si="25"/>
        <v>0</v>
      </c>
      <c r="AR92" s="224">
        <f t="shared" si="25"/>
        <v>0</v>
      </c>
      <c r="AS92" s="224">
        <f t="shared" si="25"/>
        <v>0</v>
      </c>
    </row>
    <row r="93" spans="1:45" hidden="1" outlineLevel="1">
      <c r="A93" s="446"/>
      <c r="B93" s="20" t="str">
        <f>'Input - Option 2 Detailed Input'!C114</f>
        <v>Surface Reinstatement</v>
      </c>
      <c r="C93" s="272">
        <f>'Input - Option 2 Detailed Input'!G114</f>
        <v>0</v>
      </c>
      <c r="H93" s="343">
        <f t="shared" si="22"/>
        <v>0</v>
      </c>
      <c r="I93" s="211"/>
      <c r="J93" s="224">
        <f t="shared" si="24"/>
        <v>0</v>
      </c>
      <c r="K93" s="224">
        <f t="shared" si="25"/>
        <v>0</v>
      </c>
      <c r="L93" s="224">
        <f t="shared" si="25"/>
        <v>0</v>
      </c>
      <c r="M93" s="224">
        <f t="shared" si="25"/>
        <v>0</v>
      </c>
      <c r="N93" s="224">
        <f t="shared" si="25"/>
        <v>0</v>
      </c>
      <c r="O93" s="224">
        <f t="shared" si="25"/>
        <v>0</v>
      </c>
      <c r="P93" s="224">
        <f t="shared" si="25"/>
        <v>0</v>
      </c>
      <c r="Q93" s="224">
        <f t="shared" si="25"/>
        <v>0</v>
      </c>
      <c r="R93" s="224">
        <f t="shared" si="25"/>
        <v>0</v>
      </c>
      <c r="S93" s="224">
        <f t="shared" si="25"/>
        <v>0</v>
      </c>
      <c r="T93" s="224">
        <f t="shared" si="25"/>
        <v>0</v>
      </c>
      <c r="U93" s="224">
        <f t="shared" si="25"/>
        <v>0</v>
      </c>
      <c r="V93" s="224">
        <f t="shared" si="25"/>
        <v>0</v>
      </c>
      <c r="W93" s="224">
        <f t="shared" si="25"/>
        <v>0</v>
      </c>
      <c r="X93" s="224">
        <f t="shared" si="25"/>
        <v>0</v>
      </c>
      <c r="Y93" s="224">
        <f t="shared" si="25"/>
        <v>0</v>
      </c>
      <c r="Z93" s="224">
        <f t="shared" si="25"/>
        <v>0</v>
      </c>
      <c r="AA93" s="224">
        <f t="shared" si="25"/>
        <v>0</v>
      </c>
      <c r="AB93" s="224">
        <f t="shared" si="25"/>
        <v>0</v>
      </c>
      <c r="AC93" s="224">
        <f t="shared" si="25"/>
        <v>0</v>
      </c>
      <c r="AD93" s="224">
        <f t="shared" si="25"/>
        <v>0</v>
      </c>
      <c r="AE93" s="224">
        <f t="shared" si="25"/>
        <v>0</v>
      </c>
      <c r="AF93" s="224">
        <f t="shared" si="25"/>
        <v>0</v>
      </c>
      <c r="AG93" s="224">
        <f t="shared" si="25"/>
        <v>0</v>
      </c>
      <c r="AH93" s="224">
        <f t="shared" si="25"/>
        <v>0</v>
      </c>
      <c r="AI93" s="224">
        <f t="shared" si="25"/>
        <v>0</v>
      </c>
      <c r="AJ93" s="224">
        <f t="shared" si="25"/>
        <v>0</v>
      </c>
      <c r="AK93" s="224">
        <f t="shared" si="25"/>
        <v>0</v>
      </c>
      <c r="AL93" s="224">
        <f t="shared" si="25"/>
        <v>0</v>
      </c>
      <c r="AM93" s="224">
        <f t="shared" si="25"/>
        <v>0</v>
      </c>
      <c r="AN93" s="224">
        <f t="shared" si="25"/>
        <v>0</v>
      </c>
      <c r="AO93" s="224">
        <f t="shared" si="25"/>
        <v>0</v>
      </c>
      <c r="AP93" s="224">
        <f t="shared" si="25"/>
        <v>0</v>
      </c>
      <c r="AQ93" s="224">
        <f t="shared" si="25"/>
        <v>0</v>
      </c>
      <c r="AR93" s="224">
        <f t="shared" si="25"/>
        <v>0</v>
      </c>
      <c r="AS93" s="224">
        <f t="shared" si="25"/>
        <v>0</v>
      </c>
    </row>
    <row r="94" spans="1:45" hidden="1" outlineLevel="1">
      <c r="A94" s="446"/>
      <c r="B94" s="20" t="str">
        <f>'Input - Option 2 Detailed Input'!C115</f>
        <v>Tree Protection (e.g. tree guard)</v>
      </c>
      <c r="C94" s="272">
        <f>'Input - Option 2 Detailed Input'!G115</f>
        <v>0</v>
      </c>
      <c r="H94" s="343">
        <f t="shared" si="22"/>
        <v>0</v>
      </c>
      <c r="I94" s="211"/>
      <c r="J94" s="224">
        <f t="shared" si="24"/>
        <v>0</v>
      </c>
      <c r="K94" s="224">
        <f t="shared" si="25"/>
        <v>0</v>
      </c>
      <c r="L94" s="224">
        <f t="shared" si="25"/>
        <v>0</v>
      </c>
      <c r="M94" s="224">
        <f t="shared" si="25"/>
        <v>0</v>
      </c>
      <c r="N94" s="224">
        <f t="shared" si="25"/>
        <v>0</v>
      </c>
      <c r="O94" s="224">
        <f t="shared" si="25"/>
        <v>0</v>
      </c>
      <c r="P94" s="224">
        <f t="shared" si="25"/>
        <v>0</v>
      </c>
      <c r="Q94" s="224">
        <f t="shared" si="25"/>
        <v>0</v>
      </c>
      <c r="R94" s="224">
        <f t="shared" si="25"/>
        <v>0</v>
      </c>
      <c r="S94" s="224">
        <f t="shared" si="25"/>
        <v>0</v>
      </c>
      <c r="T94" s="224">
        <f t="shared" si="25"/>
        <v>0</v>
      </c>
      <c r="U94" s="224">
        <f t="shared" si="25"/>
        <v>0</v>
      </c>
      <c r="V94" s="224">
        <f t="shared" si="25"/>
        <v>0</v>
      </c>
      <c r="W94" s="224">
        <f t="shared" si="25"/>
        <v>0</v>
      </c>
      <c r="X94" s="224">
        <f t="shared" si="25"/>
        <v>0</v>
      </c>
      <c r="Y94" s="224">
        <f t="shared" si="25"/>
        <v>0</v>
      </c>
      <c r="Z94" s="224">
        <f t="shared" si="25"/>
        <v>0</v>
      </c>
      <c r="AA94" s="224">
        <f t="shared" si="25"/>
        <v>0</v>
      </c>
      <c r="AB94" s="224">
        <f t="shared" si="25"/>
        <v>0</v>
      </c>
      <c r="AC94" s="224">
        <f t="shared" si="25"/>
        <v>0</v>
      </c>
      <c r="AD94" s="224">
        <f t="shared" si="25"/>
        <v>0</v>
      </c>
      <c r="AE94" s="224">
        <f t="shared" si="25"/>
        <v>0</v>
      </c>
      <c r="AF94" s="224">
        <f t="shared" si="25"/>
        <v>0</v>
      </c>
      <c r="AG94" s="224">
        <f t="shared" si="25"/>
        <v>0</v>
      </c>
      <c r="AH94" s="224">
        <f t="shared" si="25"/>
        <v>0</v>
      </c>
      <c r="AI94" s="224">
        <f t="shared" si="25"/>
        <v>0</v>
      </c>
      <c r="AJ94" s="224">
        <f t="shared" si="25"/>
        <v>0</v>
      </c>
      <c r="AK94" s="224">
        <f t="shared" si="25"/>
        <v>0</v>
      </c>
      <c r="AL94" s="224">
        <f t="shared" si="25"/>
        <v>0</v>
      </c>
      <c r="AM94" s="224">
        <f t="shared" si="25"/>
        <v>0</v>
      </c>
      <c r="AN94" s="224">
        <f t="shared" si="25"/>
        <v>0</v>
      </c>
      <c r="AO94" s="224">
        <f t="shared" si="25"/>
        <v>0</v>
      </c>
      <c r="AP94" s="224">
        <f t="shared" si="25"/>
        <v>0</v>
      </c>
      <c r="AQ94" s="224">
        <f t="shared" si="25"/>
        <v>0</v>
      </c>
      <c r="AR94" s="224">
        <f t="shared" si="25"/>
        <v>0</v>
      </c>
      <c r="AS94" s="224">
        <f t="shared" si="25"/>
        <v>0</v>
      </c>
    </row>
    <row r="95" spans="1:45" hidden="1" outlineLevel="1">
      <c r="A95" s="446"/>
      <c r="B95" s="20" t="str">
        <f>'Input - Option 2 Detailed Input'!C116</f>
        <v>Watering Systems (e.g. watering bag, watering tube, etc.)</v>
      </c>
      <c r="C95" s="272">
        <f>'Input - Option 2 Detailed Input'!G116</f>
        <v>0</v>
      </c>
      <c r="H95" s="343">
        <f>SUM(J95:EJ95)</f>
        <v>0</v>
      </c>
      <c r="I95" s="211"/>
      <c r="J95" s="224">
        <f t="shared" si="24"/>
        <v>0</v>
      </c>
      <c r="K95" s="224">
        <f t="shared" si="25"/>
        <v>0</v>
      </c>
      <c r="L95" s="224">
        <f t="shared" si="25"/>
        <v>0</v>
      </c>
      <c r="M95" s="224">
        <f t="shared" si="25"/>
        <v>0</v>
      </c>
      <c r="N95" s="224">
        <f t="shared" si="25"/>
        <v>0</v>
      </c>
      <c r="O95" s="224">
        <f t="shared" si="25"/>
        <v>0</v>
      </c>
      <c r="P95" s="224">
        <f t="shared" si="25"/>
        <v>0</v>
      </c>
      <c r="Q95" s="224">
        <f t="shared" si="25"/>
        <v>0</v>
      </c>
      <c r="R95" s="224">
        <f t="shared" si="25"/>
        <v>0</v>
      </c>
      <c r="S95" s="224">
        <f t="shared" si="25"/>
        <v>0</v>
      </c>
      <c r="T95" s="224">
        <f t="shared" si="25"/>
        <v>0</v>
      </c>
      <c r="U95" s="224">
        <f t="shared" si="25"/>
        <v>0</v>
      </c>
      <c r="V95" s="224">
        <f t="shared" si="25"/>
        <v>0</v>
      </c>
      <c r="W95" s="224">
        <f t="shared" si="25"/>
        <v>0</v>
      </c>
      <c r="X95" s="224">
        <f t="shared" si="25"/>
        <v>0</v>
      </c>
      <c r="Y95" s="224">
        <f t="shared" si="25"/>
        <v>0</v>
      </c>
      <c r="Z95" s="224">
        <f t="shared" si="25"/>
        <v>0</v>
      </c>
      <c r="AA95" s="224">
        <f t="shared" si="25"/>
        <v>0</v>
      </c>
      <c r="AB95" s="224">
        <f t="shared" si="25"/>
        <v>0</v>
      </c>
      <c r="AC95" s="224">
        <f t="shared" si="25"/>
        <v>0</v>
      </c>
      <c r="AD95" s="224">
        <f t="shared" si="25"/>
        <v>0</v>
      </c>
      <c r="AE95" s="224">
        <f t="shared" si="25"/>
        <v>0</v>
      </c>
      <c r="AF95" s="224">
        <f t="shared" si="25"/>
        <v>0</v>
      </c>
      <c r="AG95" s="224">
        <f t="shared" si="25"/>
        <v>0</v>
      </c>
      <c r="AH95" s="224">
        <f t="shared" si="25"/>
        <v>0</v>
      </c>
      <c r="AI95" s="224">
        <f t="shared" si="25"/>
        <v>0</v>
      </c>
      <c r="AJ95" s="224">
        <f t="shared" si="25"/>
        <v>0</v>
      </c>
      <c r="AK95" s="224">
        <f t="shared" si="25"/>
        <v>0</v>
      </c>
      <c r="AL95" s="224">
        <f t="shared" si="25"/>
        <v>0</v>
      </c>
      <c r="AM95" s="224">
        <f t="shared" si="25"/>
        <v>0</v>
      </c>
      <c r="AN95" s="224">
        <f t="shared" si="25"/>
        <v>0</v>
      </c>
      <c r="AO95" s="224">
        <f t="shared" si="25"/>
        <v>0</v>
      </c>
      <c r="AP95" s="224">
        <f t="shared" si="25"/>
        <v>0</v>
      </c>
      <c r="AQ95" s="224">
        <f t="shared" si="25"/>
        <v>0</v>
      </c>
      <c r="AR95" s="224">
        <f t="shared" si="25"/>
        <v>0</v>
      </c>
      <c r="AS95" s="224">
        <f t="shared" si="25"/>
        <v>0</v>
      </c>
    </row>
    <row r="96" spans="1:45" hidden="1" outlineLevel="1">
      <c r="B96" s="48"/>
      <c r="H96" s="343"/>
      <c r="I96" s="5"/>
      <c r="J96" s="224"/>
      <c r="K96" s="224"/>
      <c r="L96" s="224"/>
      <c r="M96" s="224"/>
      <c r="N96" s="224"/>
      <c r="O96" s="224"/>
      <c r="P96" s="224"/>
      <c r="Q96" s="224"/>
      <c r="R96" s="224"/>
      <c r="S96" s="224"/>
      <c r="T96" s="224"/>
      <c r="U96" s="224"/>
      <c r="V96" s="224"/>
      <c r="W96" s="224"/>
      <c r="X96" s="224"/>
      <c r="Y96" s="224"/>
      <c r="Z96" s="224"/>
      <c r="AA96" s="224"/>
      <c r="AB96" s="224"/>
      <c r="AC96" s="224"/>
      <c r="AD96" s="224"/>
      <c r="AE96" s="224"/>
      <c r="AF96" s="224"/>
      <c r="AG96" s="224"/>
      <c r="AH96" s="224"/>
      <c r="AI96" s="224"/>
      <c r="AJ96" s="224"/>
      <c r="AK96" s="224"/>
      <c r="AL96" s="224"/>
      <c r="AM96" s="224"/>
      <c r="AN96" s="224"/>
      <c r="AO96" s="224"/>
      <c r="AP96" s="224"/>
      <c r="AQ96" s="224"/>
      <c r="AR96" s="224"/>
      <c r="AS96" s="224"/>
    </row>
    <row r="97" spans="2:45" hidden="1" outlineLevel="1">
      <c r="B97" s="49" t="str">
        <f>'Input - Option 2 Detailed Input'!C118</f>
        <v>Additional Elements</v>
      </c>
      <c r="C97" s="40" t="str">
        <f>'Input - Option 2 Detailed Input'!H118</f>
        <v>Total Costs excl. inflation</v>
      </c>
      <c r="H97" s="343"/>
      <c r="I97" s="5"/>
      <c r="J97" s="224"/>
      <c r="K97" s="224"/>
      <c r="L97" s="224"/>
      <c r="M97" s="224"/>
      <c r="N97" s="224"/>
      <c r="O97" s="224"/>
      <c r="P97" s="224"/>
      <c r="Q97" s="224"/>
      <c r="R97" s="224"/>
      <c r="S97" s="224"/>
      <c r="T97" s="224"/>
      <c r="U97" s="224"/>
      <c r="V97" s="224"/>
      <c r="W97" s="224"/>
      <c r="X97" s="224"/>
      <c r="Y97" s="224"/>
      <c r="Z97" s="224"/>
      <c r="AA97" s="224"/>
      <c r="AB97" s="224"/>
      <c r="AC97" s="224"/>
      <c r="AD97" s="224"/>
      <c r="AE97" s="224"/>
      <c r="AF97" s="224"/>
      <c r="AG97" s="224"/>
      <c r="AH97" s="224"/>
      <c r="AI97" s="224"/>
      <c r="AJ97" s="224"/>
      <c r="AK97" s="224"/>
      <c r="AL97" s="224"/>
      <c r="AM97" s="224"/>
      <c r="AN97" s="224"/>
      <c r="AO97" s="224"/>
      <c r="AP97" s="224"/>
      <c r="AQ97" s="224"/>
      <c r="AR97" s="224"/>
      <c r="AS97" s="224"/>
    </row>
    <row r="98" spans="2:45" hidden="1" outlineLevel="1">
      <c r="B98" s="20" t="str">
        <f>'Input - Option 2 Detailed Input'!C119</f>
        <v>Underground Guying System (anchor plates and cable)</v>
      </c>
      <c r="C98" s="30">
        <f>'Input - Option 2 Detailed Input'!H119</f>
        <v>0</v>
      </c>
      <c r="H98" s="343">
        <f t="shared" ref="H98:H103" si="26">SUM(J98:EJ98)</f>
        <v>0</v>
      </c>
      <c r="I98" s="211"/>
      <c r="J98" s="224">
        <f>-IF(AND(J$3&gt;=$C$58,J$3&lt;=$D$58),($C98)*J$4,)</f>
        <v>0</v>
      </c>
      <c r="K98" s="224">
        <f t="shared" ref="K98:AS103" si="27">-IF(AND(K$3&gt;=$C$58,K$3&lt;=$D$58),($C98)*K$4,)</f>
        <v>0</v>
      </c>
      <c r="L98" s="224">
        <f t="shared" si="27"/>
        <v>0</v>
      </c>
      <c r="M98" s="224">
        <f t="shared" si="27"/>
        <v>0</v>
      </c>
      <c r="N98" s="224">
        <f t="shared" si="27"/>
        <v>0</v>
      </c>
      <c r="O98" s="224">
        <f t="shared" si="27"/>
        <v>0</v>
      </c>
      <c r="P98" s="224">
        <f t="shared" si="27"/>
        <v>0</v>
      </c>
      <c r="Q98" s="224">
        <f t="shared" si="27"/>
        <v>0</v>
      </c>
      <c r="R98" s="224">
        <f t="shared" si="27"/>
        <v>0</v>
      </c>
      <c r="S98" s="224">
        <f t="shared" si="27"/>
        <v>0</v>
      </c>
      <c r="T98" s="224">
        <f t="shared" si="27"/>
        <v>0</v>
      </c>
      <c r="U98" s="224">
        <f t="shared" si="27"/>
        <v>0</v>
      </c>
      <c r="V98" s="224">
        <f t="shared" si="27"/>
        <v>0</v>
      </c>
      <c r="W98" s="224">
        <f t="shared" si="27"/>
        <v>0</v>
      </c>
      <c r="X98" s="224">
        <f t="shared" si="27"/>
        <v>0</v>
      </c>
      <c r="Y98" s="224">
        <f t="shared" si="27"/>
        <v>0</v>
      </c>
      <c r="Z98" s="224">
        <f t="shared" si="27"/>
        <v>0</v>
      </c>
      <c r="AA98" s="224">
        <f t="shared" si="27"/>
        <v>0</v>
      </c>
      <c r="AB98" s="224">
        <f t="shared" si="27"/>
        <v>0</v>
      </c>
      <c r="AC98" s="224">
        <f t="shared" si="27"/>
        <v>0</v>
      </c>
      <c r="AD98" s="224">
        <f t="shared" si="27"/>
        <v>0</v>
      </c>
      <c r="AE98" s="224">
        <f t="shared" si="27"/>
        <v>0</v>
      </c>
      <c r="AF98" s="224">
        <f t="shared" si="27"/>
        <v>0</v>
      </c>
      <c r="AG98" s="224">
        <f t="shared" si="27"/>
        <v>0</v>
      </c>
      <c r="AH98" s="224">
        <f t="shared" si="27"/>
        <v>0</v>
      </c>
      <c r="AI98" s="224">
        <f t="shared" si="27"/>
        <v>0</v>
      </c>
      <c r="AJ98" s="224">
        <f t="shared" si="27"/>
        <v>0</v>
      </c>
      <c r="AK98" s="224">
        <f t="shared" si="27"/>
        <v>0</v>
      </c>
      <c r="AL98" s="224">
        <f t="shared" si="27"/>
        <v>0</v>
      </c>
      <c r="AM98" s="224">
        <f t="shared" si="27"/>
        <v>0</v>
      </c>
      <c r="AN98" s="224">
        <f t="shared" si="27"/>
        <v>0</v>
      </c>
      <c r="AO98" s="224">
        <f t="shared" si="27"/>
        <v>0</v>
      </c>
      <c r="AP98" s="224">
        <f t="shared" si="27"/>
        <v>0</v>
      </c>
      <c r="AQ98" s="224">
        <f t="shared" si="27"/>
        <v>0</v>
      </c>
      <c r="AR98" s="224">
        <f t="shared" si="27"/>
        <v>0</v>
      </c>
      <c r="AS98" s="224">
        <f t="shared" si="27"/>
        <v>0</v>
      </c>
    </row>
    <row r="99" spans="2:45" hidden="1" outlineLevel="1">
      <c r="B99" s="20" t="str">
        <f>'Input - Option 2 Detailed Input'!C120</f>
        <v>Root Deflector</v>
      </c>
      <c r="C99" s="30">
        <f>'Input - Option 2 Detailed Input'!H120</f>
        <v>0</v>
      </c>
      <c r="H99" s="343">
        <f t="shared" si="26"/>
        <v>0</v>
      </c>
      <c r="I99" s="211"/>
      <c r="J99" s="224">
        <f t="shared" ref="J99:Y103" si="28">-IF(AND(J$3&gt;=$C$58,J$3&lt;=$D$58),($C99)*J$4,)</f>
        <v>0</v>
      </c>
      <c r="K99" s="224">
        <f t="shared" si="28"/>
        <v>0</v>
      </c>
      <c r="L99" s="224">
        <f t="shared" si="28"/>
        <v>0</v>
      </c>
      <c r="M99" s="224">
        <f t="shared" si="28"/>
        <v>0</v>
      </c>
      <c r="N99" s="224">
        <f t="shared" si="28"/>
        <v>0</v>
      </c>
      <c r="O99" s="224">
        <f t="shared" si="28"/>
        <v>0</v>
      </c>
      <c r="P99" s="224">
        <f t="shared" si="28"/>
        <v>0</v>
      </c>
      <c r="Q99" s="224">
        <f t="shared" si="28"/>
        <v>0</v>
      </c>
      <c r="R99" s="224">
        <f t="shared" si="28"/>
        <v>0</v>
      </c>
      <c r="S99" s="224">
        <f t="shared" si="28"/>
        <v>0</v>
      </c>
      <c r="T99" s="224">
        <f t="shared" si="28"/>
        <v>0</v>
      </c>
      <c r="U99" s="224">
        <f t="shared" si="28"/>
        <v>0</v>
      </c>
      <c r="V99" s="224">
        <f t="shared" si="28"/>
        <v>0</v>
      </c>
      <c r="W99" s="224">
        <f t="shared" si="28"/>
        <v>0</v>
      </c>
      <c r="X99" s="224">
        <f t="shared" si="28"/>
        <v>0</v>
      </c>
      <c r="Y99" s="224">
        <f t="shared" si="28"/>
        <v>0</v>
      </c>
      <c r="Z99" s="224">
        <f t="shared" si="27"/>
        <v>0</v>
      </c>
      <c r="AA99" s="224">
        <f t="shared" si="27"/>
        <v>0</v>
      </c>
      <c r="AB99" s="224">
        <f t="shared" si="27"/>
        <v>0</v>
      </c>
      <c r="AC99" s="224">
        <f t="shared" si="27"/>
        <v>0</v>
      </c>
      <c r="AD99" s="224">
        <f t="shared" si="27"/>
        <v>0</v>
      </c>
      <c r="AE99" s="224">
        <f t="shared" si="27"/>
        <v>0</v>
      </c>
      <c r="AF99" s="224">
        <f t="shared" si="27"/>
        <v>0</v>
      </c>
      <c r="AG99" s="224">
        <f t="shared" si="27"/>
        <v>0</v>
      </c>
      <c r="AH99" s="224">
        <f t="shared" si="27"/>
        <v>0</v>
      </c>
      <c r="AI99" s="224">
        <f t="shared" si="27"/>
        <v>0</v>
      </c>
      <c r="AJ99" s="224">
        <f t="shared" si="27"/>
        <v>0</v>
      </c>
      <c r="AK99" s="224">
        <f t="shared" si="27"/>
        <v>0</v>
      </c>
      <c r="AL99" s="224">
        <f t="shared" si="27"/>
        <v>0</v>
      </c>
      <c r="AM99" s="224">
        <f t="shared" si="27"/>
        <v>0</v>
      </c>
      <c r="AN99" s="224">
        <f t="shared" si="27"/>
        <v>0</v>
      </c>
      <c r="AO99" s="224">
        <f t="shared" si="27"/>
        <v>0</v>
      </c>
      <c r="AP99" s="224">
        <f t="shared" si="27"/>
        <v>0</v>
      </c>
      <c r="AQ99" s="224">
        <f t="shared" si="27"/>
        <v>0</v>
      </c>
      <c r="AR99" s="224">
        <f t="shared" si="27"/>
        <v>0</v>
      </c>
      <c r="AS99" s="224">
        <f t="shared" si="27"/>
        <v>0</v>
      </c>
    </row>
    <row r="100" spans="2:45" hidden="1" outlineLevel="1">
      <c r="B100" s="20" t="str">
        <f>'Input - Option 2 Detailed Input'!C121</f>
        <v>Aeration System</v>
      </c>
      <c r="C100" s="30">
        <f>'Input - Option 2 Detailed Input'!H121</f>
        <v>0</v>
      </c>
      <c r="H100" s="343">
        <f t="shared" si="26"/>
        <v>0</v>
      </c>
      <c r="I100" s="211"/>
      <c r="J100" s="224">
        <f t="shared" si="28"/>
        <v>0</v>
      </c>
      <c r="K100" s="224">
        <f t="shared" si="27"/>
        <v>0</v>
      </c>
      <c r="L100" s="224">
        <f t="shared" si="27"/>
        <v>0</v>
      </c>
      <c r="M100" s="224">
        <f t="shared" si="27"/>
        <v>0</v>
      </c>
      <c r="N100" s="224">
        <f t="shared" si="27"/>
        <v>0</v>
      </c>
      <c r="O100" s="224">
        <f t="shared" si="27"/>
        <v>0</v>
      </c>
      <c r="P100" s="224">
        <f t="shared" si="27"/>
        <v>0</v>
      </c>
      <c r="Q100" s="224">
        <f t="shared" si="27"/>
        <v>0</v>
      </c>
      <c r="R100" s="224">
        <f t="shared" si="27"/>
        <v>0</v>
      </c>
      <c r="S100" s="224">
        <f t="shared" si="27"/>
        <v>0</v>
      </c>
      <c r="T100" s="224">
        <f t="shared" si="27"/>
        <v>0</v>
      </c>
      <c r="U100" s="224">
        <f t="shared" si="27"/>
        <v>0</v>
      </c>
      <c r="V100" s="224">
        <f t="shared" si="27"/>
        <v>0</v>
      </c>
      <c r="W100" s="224">
        <f t="shared" si="27"/>
        <v>0</v>
      </c>
      <c r="X100" s="224">
        <f t="shared" si="27"/>
        <v>0</v>
      </c>
      <c r="Y100" s="224">
        <f t="shared" si="27"/>
        <v>0</v>
      </c>
      <c r="Z100" s="224">
        <f t="shared" si="27"/>
        <v>0</v>
      </c>
      <c r="AA100" s="224">
        <f t="shared" si="27"/>
        <v>0</v>
      </c>
      <c r="AB100" s="224">
        <f t="shared" si="27"/>
        <v>0</v>
      </c>
      <c r="AC100" s="224">
        <f t="shared" si="27"/>
        <v>0</v>
      </c>
      <c r="AD100" s="224">
        <f t="shared" si="27"/>
        <v>0</v>
      </c>
      <c r="AE100" s="224">
        <f t="shared" si="27"/>
        <v>0</v>
      </c>
      <c r="AF100" s="224">
        <f t="shared" si="27"/>
        <v>0</v>
      </c>
      <c r="AG100" s="224">
        <f t="shared" si="27"/>
        <v>0</v>
      </c>
      <c r="AH100" s="224">
        <f t="shared" si="27"/>
        <v>0</v>
      </c>
      <c r="AI100" s="224">
        <f t="shared" si="27"/>
        <v>0</v>
      </c>
      <c r="AJ100" s="224">
        <f t="shared" si="27"/>
        <v>0</v>
      </c>
      <c r="AK100" s="224">
        <f t="shared" si="27"/>
        <v>0</v>
      </c>
      <c r="AL100" s="224">
        <f t="shared" si="27"/>
        <v>0</v>
      </c>
      <c r="AM100" s="224">
        <f t="shared" si="27"/>
        <v>0</v>
      </c>
      <c r="AN100" s="224">
        <f t="shared" si="27"/>
        <v>0</v>
      </c>
      <c r="AO100" s="224">
        <f t="shared" si="27"/>
        <v>0</v>
      </c>
      <c r="AP100" s="224">
        <f t="shared" si="27"/>
        <v>0</v>
      </c>
      <c r="AQ100" s="224">
        <f t="shared" si="27"/>
        <v>0</v>
      </c>
      <c r="AR100" s="224">
        <f t="shared" si="27"/>
        <v>0</v>
      </c>
      <c r="AS100" s="224">
        <f t="shared" si="27"/>
        <v>0</v>
      </c>
    </row>
    <row r="101" spans="2:45" hidden="1" outlineLevel="1">
      <c r="B101" s="20" t="str">
        <f>'Input - Option 2 Detailed Input'!C122</f>
        <v>Sustainable Urban Drainage Systems (SuDS)</v>
      </c>
      <c r="C101" s="30">
        <f>'Input - Option 2 Detailed Input'!H122</f>
        <v>0</v>
      </c>
      <c r="H101" s="343">
        <f t="shared" si="26"/>
        <v>0</v>
      </c>
      <c r="I101" s="211"/>
      <c r="J101" s="224">
        <f t="shared" si="28"/>
        <v>0</v>
      </c>
      <c r="K101" s="224">
        <f t="shared" si="27"/>
        <v>0</v>
      </c>
      <c r="L101" s="224">
        <f t="shared" si="27"/>
        <v>0</v>
      </c>
      <c r="M101" s="224">
        <f t="shared" si="27"/>
        <v>0</v>
      </c>
      <c r="N101" s="224">
        <f t="shared" si="27"/>
        <v>0</v>
      </c>
      <c r="O101" s="224">
        <f t="shared" si="27"/>
        <v>0</v>
      </c>
      <c r="P101" s="224">
        <f t="shared" si="27"/>
        <v>0</v>
      </c>
      <c r="Q101" s="224">
        <f t="shared" si="27"/>
        <v>0</v>
      </c>
      <c r="R101" s="224">
        <f t="shared" si="27"/>
        <v>0</v>
      </c>
      <c r="S101" s="224">
        <f t="shared" si="27"/>
        <v>0</v>
      </c>
      <c r="T101" s="224">
        <f t="shared" si="27"/>
        <v>0</v>
      </c>
      <c r="U101" s="224">
        <f t="shared" si="27"/>
        <v>0</v>
      </c>
      <c r="V101" s="224">
        <f t="shared" si="27"/>
        <v>0</v>
      </c>
      <c r="W101" s="224">
        <f t="shared" si="27"/>
        <v>0</v>
      </c>
      <c r="X101" s="224">
        <f t="shared" si="27"/>
        <v>0</v>
      </c>
      <c r="Y101" s="224">
        <f t="shared" si="27"/>
        <v>0</v>
      </c>
      <c r="Z101" s="224">
        <f t="shared" si="27"/>
        <v>0</v>
      </c>
      <c r="AA101" s="224">
        <f t="shared" si="27"/>
        <v>0</v>
      </c>
      <c r="AB101" s="224">
        <f t="shared" si="27"/>
        <v>0</v>
      </c>
      <c r="AC101" s="224">
        <f t="shared" si="27"/>
        <v>0</v>
      </c>
      <c r="AD101" s="224">
        <f t="shared" si="27"/>
        <v>0</v>
      </c>
      <c r="AE101" s="224">
        <f t="shared" si="27"/>
        <v>0</v>
      </c>
      <c r="AF101" s="224">
        <f t="shared" si="27"/>
        <v>0</v>
      </c>
      <c r="AG101" s="224">
        <f t="shared" si="27"/>
        <v>0</v>
      </c>
      <c r="AH101" s="224">
        <f t="shared" si="27"/>
        <v>0</v>
      </c>
      <c r="AI101" s="224">
        <f t="shared" si="27"/>
        <v>0</v>
      </c>
      <c r="AJ101" s="224">
        <f t="shared" si="27"/>
        <v>0</v>
      </c>
      <c r="AK101" s="224">
        <f t="shared" si="27"/>
        <v>0</v>
      </c>
      <c r="AL101" s="224">
        <f t="shared" si="27"/>
        <v>0</v>
      </c>
      <c r="AM101" s="224">
        <f t="shared" si="27"/>
        <v>0</v>
      </c>
      <c r="AN101" s="224">
        <f t="shared" si="27"/>
        <v>0</v>
      </c>
      <c r="AO101" s="224">
        <f t="shared" si="27"/>
        <v>0</v>
      </c>
      <c r="AP101" s="224">
        <f t="shared" si="27"/>
        <v>0</v>
      </c>
      <c r="AQ101" s="224">
        <f t="shared" si="27"/>
        <v>0</v>
      </c>
      <c r="AR101" s="224">
        <f t="shared" si="27"/>
        <v>0</v>
      </c>
      <c r="AS101" s="224">
        <f t="shared" si="27"/>
        <v>0</v>
      </c>
    </row>
    <row r="102" spans="2:45" hidden="1" outlineLevel="1">
      <c r="B102" s="20" t="str">
        <f>'Input - Option 2 Detailed Input'!C123</f>
        <v>M2 of Root Barrier Material or Sheet Barrier</v>
      </c>
      <c r="C102" s="30">
        <f>'Input - Option 2 Detailed Input'!H123</f>
        <v>0</v>
      </c>
      <c r="H102" s="343">
        <f t="shared" si="26"/>
        <v>0</v>
      </c>
      <c r="I102" s="211"/>
      <c r="J102" s="224">
        <f t="shared" si="28"/>
        <v>0</v>
      </c>
      <c r="K102" s="224">
        <f t="shared" si="27"/>
        <v>0</v>
      </c>
      <c r="L102" s="224">
        <f t="shared" si="27"/>
        <v>0</v>
      </c>
      <c r="M102" s="224">
        <f t="shared" si="27"/>
        <v>0</v>
      </c>
      <c r="N102" s="224">
        <f t="shared" si="27"/>
        <v>0</v>
      </c>
      <c r="O102" s="224">
        <f t="shared" si="27"/>
        <v>0</v>
      </c>
      <c r="P102" s="224">
        <f t="shared" si="27"/>
        <v>0</v>
      </c>
      <c r="Q102" s="224">
        <f t="shared" si="27"/>
        <v>0</v>
      </c>
      <c r="R102" s="224">
        <f t="shared" si="27"/>
        <v>0</v>
      </c>
      <c r="S102" s="224">
        <f t="shared" si="27"/>
        <v>0</v>
      </c>
      <c r="T102" s="224">
        <f t="shared" si="27"/>
        <v>0</v>
      </c>
      <c r="U102" s="224">
        <f t="shared" si="27"/>
        <v>0</v>
      </c>
      <c r="V102" s="224">
        <f t="shared" si="27"/>
        <v>0</v>
      </c>
      <c r="W102" s="224">
        <f t="shared" si="27"/>
        <v>0</v>
      </c>
      <c r="X102" s="224">
        <f t="shared" si="27"/>
        <v>0</v>
      </c>
      <c r="Y102" s="224">
        <f t="shared" si="27"/>
        <v>0</v>
      </c>
      <c r="Z102" s="224">
        <f t="shared" si="27"/>
        <v>0</v>
      </c>
      <c r="AA102" s="224">
        <f t="shared" si="27"/>
        <v>0</v>
      </c>
      <c r="AB102" s="224">
        <f t="shared" si="27"/>
        <v>0</v>
      </c>
      <c r="AC102" s="224">
        <f t="shared" si="27"/>
        <v>0</v>
      </c>
      <c r="AD102" s="224">
        <f t="shared" si="27"/>
        <v>0</v>
      </c>
      <c r="AE102" s="224">
        <f t="shared" si="27"/>
        <v>0</v>
      </c>
      <c r="AF102" s="224">
        <f t="shared" si="27"/>
        <v>0</v>
      </c>
      <c r="AG102" s="224">
        <f t="shared" si="27"/>
        <v>0</v>
      </c>
      <c r="AH102" s="224">
        <f t="shared" si="27"/>
        <v>0</v>
      </c>
      <c r="AI102" s="224">
        <f t="shared" si="27"/>
        <v>0</v>
      </c>
      <c r="AJ102" s="224">
        <f t="shared" si="27"/>
        <v>0</v>
      </c>
      <c r="AK102" s="224">
        <f t="shared" si="27"/>
        <v>0</v>
      </c>
      <c r="AL102" s="224">
        <f t="shared" si="27"/>
        <v>0</v>
      </c>
      <c r="AM102" s="224">
        <f t="shared" si="27"/>
        <v>0</v>
      </c>
      <c r="AN102" s="224">
        <f t="shared" si="27"/>
        <v>0</v>
      </c>
      <c r="AO102" s="224">
        <f t="shared" si="27"/>
        <v>0</v>
      </c>
      <c r="AP102" s="224">
        <f t="shared" si="27"/>
        <v>0</v>
      </c>
      <c r="AQ102" s="224">
        <f t="shared" si="27"/>
        <v>0</v>
      </c>
      <c r="AR102" s="224">
        <f t="shared" si="27"/>
        <v>0</v>
      </c>
      <c r="AS102" s="224">
        <f t="shared" si="27"/>
        <v>0</v>
      </c>
    </row>
    <row r="103" spans="2:45" hidden="1" outlineLevel="1">
      <c r="B103" s="20" t="str">
        <f>'Input - Option 2 Detailed Input'!C124</f>
        <v>Cellular Aggregate Confinement System, e.g. Cellweb</v>
      </c>
      <c r="C103" s="30">
        <f>'Input - Option 2 Detailed Input'!H124</f>
        <v>0</v>
      </c>
      <c r="H103" s="343">
        <f t="shared" si="26"/>
        <v>0</v>
      </c>
      <c r="I103" s="211"/>
      <c r="J103" s="224">
        <f t="shared" si="28"/>
        <v>0</v>
      </c>
      <c r="K103" s="224">
        <f t="shared" si="27"/>
        <v>0</v>
      </c>
      <c r="L103" s="224">
        <f t="shared" si="27"/>
        <v>0</v>
      </c>
      <c r="M103" s="224">
        <f t="shared" si="27"/>
        <v>0</v>
      </c>
      <c r="N103" s="224">
        <f t="shared" si="27"/>
        <v>0</v>
      </c>
      <c r="O103" s="224">
        <f t="shared" si="27"/>
        <v>0</v>
      </c>
      <c r="P103" s="224">
        <f t="shared" si="27"/>
        <v>0</v>
      </c>
      <c r="Q103" s="224">
        <f t="shared" si="27"/>
        <v>0</v>
      </c>
      <c r="R103" s="224">
        <f t="shared" si="27"/>
        <v>0</v>
      </c>
      <c r="S103" s="224">
        <f t="shared" si="27"/>
        <v>0</v>
      </c>
      <c r="T103" s="224">
        <f t="shared" si="27"/>
        <v>0</v>
      </c>
      <c r="U103" s="224">
        <f t="shared" si="27"/>
        <v>0</v>
      </c>
      <c r="V103" s="224">
        <f t="shared" si="27"/>
        <v>0</v>
      </c>
      <c r="W103" s="224">
        <f t="shared" si="27"/>
        <v>0</v>
      </c>
      <c r="X103" s="224">
        <f t="shared" si="27"/>
        <v>0</v>
      </c>
      <c r="Y103" s="224">
        <f t="shared" si="27"/>
        <v>0</v>
      </c>
      <c r="Z103" s="224">
        <f t="shared" si="27"/>
        <v>0</v>
      </c>
      <c r="AA103" s="224">
        <f t="shared" si="27"/>
        <v>0</v>
      </c>
      <c r="AB103" s="224">
        <f t="shared" si="27"/>
        <v>0</v>
      </c>
      <c r="AC103" s="224">
        <f t="shared" si="27"/>
        <v>0</v>
      </c>
      <c r="AD103" s="224">
        <f t="shared" si="27"/>
        <v>0</v>
      </c>
      <c r="AE103" s="224">
        <f t="shared" si="27"/>
        <v>0</v>
      </c>
      <c r="AF103" s="224">
        <f t="shared" si="27"/>
        <v>0</v>
      </c>
      <c r="AG103" s="224">
        <f t="shared" si="27"/>
        <v>0</v>
      </c>
      <c r="AH103" s="224">
        <f t="shared" si="27"/>
        <v>0</v>
      </c>
      <c r="AI103" s="224">
        <f t="shared" si="27"/>
        <v>0</v>
      </c>
      <c r="AJ103" s="224">
        <f t="shared" si="27"/>
        <v>0</v>
      </c>
      <c r="AK103" s="224">
        <f t="shared" si="27"/>
        <v>0</v>
      </c>
      <c r="AL103" s="224">
        <f t="shared" si="27"/>
        <v>0</v>
      </c>
      <c r="AM103" s="224">
        <f t="shared" si="27"/>
        <v>0</v>
      </c>
      <c r="AN103" s="224">
        <f t="shared" si="27"/>
        <v>0</v>
      </c>
      <c r="AO103" s="224">
        <f t="shared" si="27"/>
        <v>0</v>
      </c>
      <c r="AP103" s="224">
        <f t="shared" si="27"/>
        <v>0</v>
      </c>
      <c r="AQ103" s="224">
        <f t="shared" si="27"/>
        <v>0</v>
      </c>
      <c r="AR103" s="224">
        <f t="shared" si="27"/>
        <v>0</v>
      </c>
      <c r="AS103" s="224">
        <f t="shared" si="27"/>
        <v>0</v>
      </c>
    </row>
    <row r="104" spans="2:45" hidden="1" outlineLevel="1">
      <c r="B104" s="48"/>
      <c r="H104" s="343"/>
      <c r="I104" s="5"/>
      <c r="J104" s="224"/>
      <c r="K104" s="224"/>
      <c r="L104" s="224"/>
      <c r="M104" s="224"/>
      <c r="N104" s="224"/>
      <c r="O104" s="224"/>
      <c r="P104" s="224"/>
      <c r="Q104" s="224"/>
      <c r="R104" s="224"/>
      <c r="S104" s="224"/>
      <c r="T104" s="224"/>
      <c r="U104" s="224"/>
      <c r="V104" s="224"/>
      <c r="W104" s="224"/>
      <c r="X104" s="224"/>
      <c r="Y104" s="224"/>
      <c r="Z104" s="224"/>
      <c r="AA104" s="224"/>
      <c r="AB104" s="224"/>
      <c r="AC104" s="224"/>
      <c r="AD104" s="224"/>
      <c r="AE104" s="224"/>
      <c r="AF104" s="224"/>
      <c r="AG104" s="224"/>
      <c r="AH104" s="224"/>
      <c r="AI104" s="224"/>
      <c r="AJ104" s="224"/>
      <c r="AK104" s="224"/>
      <c r="AL104" s="224"/>
      <c r="AM104" s="224"/>
      <c r="AN104" s="224"/>
      <c r="AO104" s="224"/>
      <c r="AP104" s="224"/>
      <c r="AQ104" s="224"/>
      <c r="AR104" s="224"/>
      <c r="AS104" s="224"/>
    </row>
    <row r="105" spans="2:45" hidden="1" outlineLevel="1">
      <c r="B105" s="49" t="str">
        <f>'Input - Option 2 Detailed Input'!C126</f>
        <v>Additional Costs</v>
      </c>
      <c r="C105" s="40" t="str">
        <f>'Input - Option 2 Detailed Input'!G126</f>
        <v>Total Costs excl. inflation</v>
      </c>
      <c r="H105" s="343"/>
      <c r="I105" s="5"/>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224"/>
      <c r="AI105" s="224"/>
      <c r="AJ105" s="224"/>
      <c r="AK105" s="224"/>
      <c r="AL105" s="224"/>
      <c r="AM105" s="224"/>
      <c r="AN105" s="224"/>
      <c r="AO105" s="224"/>
      <c r="AP105" s="224"/>
      <c r="AQ105" s="224"/>
      <c r="AR105" s="224"/>
      <c r="AS105" s="224"/>
    </row>
    <row r="106" spans="2:45" hidden="1" outlineLevel="1">
      <c r="B106" s="20" t="str">
        <f>'Input - Option 2 Detailed Input'!C127</f>
        <v>Cost #1</v>
      </c>
      <c r="C106" s="30">
        <f>'Input - Option 2 Detailed Input'!G127</f>
        <v>0</v>
      </c>
      <c r="H106" s="343">
        <f t="shared" ref="H106:H114" si="29">SUM(J106:EJ106)</f>
        <v>0</v>
      </c>
      <c r="I106" s="211"/>
      <c r="J106" s="224">
        <f>-IF(AND(J$3&gt;=$C$58,J$3&lt;=$D$58),($C106)*J$4,)</f>
        <v>0</v>
      </c>
      <c r="K106" s="224">
        <f t="shared" ref="K106:AS113" si="30">-IF(AND(K$3&gt;=$C$58,K$3&lt;=$D$58),($C106)*K$4,)</f>
        <v>0</v>
      </c>
      <c r="L106" s="224">
        <f t="shared" si="30"/>
        <v>0</v>
      </c>
      <c r="M106" s="224">
        <f t="shared" si="30"/>
        <v>0</v>
      </c>
      <c r="N106" s="224">
        <f t="shared" si="30"/>
        <v>0</v>
      </c>
      <c r="O106" s="224">
        <f t="shared" si="30"/>
        <v>0</v>
      </c>
      <c r="P106" s="224">
        <f t="shared" si="30"/>
        <v>0</v>
      </c>
      <c r="Q106" s="224">
        <f t="shared" si="30"/>
        <v>0</v>
      </c>
      <c r="R106" s="224">
        <f t="shared" si="30"/>
        <v>0</v>
      </c>
      <c r="S106" s="224">
        <f t="shared" si="30"/>
        <v>0</v>
      </c>
      <c r="T106" s="224">
        <f t="shared" si="30"/>
        <v>0</v>
      </c>
      <c r="U106" s="224">
        <f t="shared" si="30"/>
        <v>0</v>
      </c>
      <c r="V106" s="224">
        <f t="shared" si="30"/>
        <v>0</v>
      </c>
      <c r="W106" s="224">
        <f t="shared" si="30"/>
        <v>0</v>
      </c>
      <c r="X106" s="224">
        <f t="shared" si="30"/>
        <v>0</v>
      </c>
      <c r="Y106" s="224">
        <f t="shared" si="30"/>
        <v>0</v>
      </c>
      <c r="Z106" s="224">
        <f t="shared" si="30"/>
        <v>0</v>
      </c>
      <c r="AA106" s="224">
        <f t="shared" si="30"/>
        <v>0</v>
      </c>
      <c r="AB106" s="224">
        <f t="shared" si="30"/>
        <v>0</v>
      </c>
      <c r="AC106" s="224">
        <f t="shared" si="30"/>
        <v>0</v>
      </c>
      <c r="AD106" s="224">
        <f t="shared" si="30"/>
        <v>0</v>
      </c>
      <c r="AE106" s="224">
        <f t="shared" si="30"/>
        <v>0</v>
      </c>
      <c r="AF106" s="224">
        <f t="shared" si="30"/>
        <v>0</v>
      </c>
      <c r="AG106" s="224">
        <f t="shared" si="30"/>
        <v>0</v>
      </c>
      <c r="AH106" s="224">
        <f t="shared" si="30"/>
        <v>0</v>
      </c>
      <c r="AI106" s="224">
        <f t="shared" si="30"/>
        <v>0</v>
      </c>
      <c r="AJ106" s="224">
        <f t="shared" si="30"/>
        <v>0</v>
      </c>
      <c r="AK106" s="224">
        <f t="shared" si="30"/>
        <v>0</v>
      </c>
      <c r="AL106" s="224">
        <f t="shared" si="30"/>
        <v>0</v>
      </c>
      <c r="AM106" s="224">
        <f t="shared" si="30"/>
        <v>0</v>
      </c>
      <c r="AN106" s="224">
        <f t="shared" si="30"/>
        <v>0</v>
      </c>
      <c r="AO106" s="224">
        <f t="shared" si="30"/>
        <v>0</v>
      </c>
      <c r="AP106" s="224">
        <f t="shared" si="30"/>
        <v>0</v>
      </c>
      <c r="AQ106" s="224">
        <f t="shared" si="30"/>
        <v>0</v>
      </c>
      <c r="AR106" s="224">
        <f t="shared" si="30"/>
        <v>0</v>
      </c>
      <c r="AS106" s="224">
        <f t="shared" si="30"/>
        <v>0</v>
      </c>
    </row>
    <row r="107" spans="2:45" hidden="1" outlineLevel="1">
      <c r="B107" s="20" t="str">
        <f>'Input - Option 2 Detailed Input'!C128</f>
        <v xml:space="preserve">[Additional Costs #2] </v>
      </c>
      <c r="C107" s="30">
        <f>'Input - Option 2 Detailed Input'!G128</f>
        <v>0</v>
      </c>
      <c r="H107" s="343">
        <f t="shared" si="29"/>
        <v>0</v>
      </c>
      <c r="I107" s="211"/>
      <c r="J107" s="224">
        <f t="shared" ref="J107:Y115" si="31">-IF(AND(J$3&gt;=$C$58,J$3&lt;=$D$58),($C107)*J$4,)</f>
        <v>0</v>
      </c>
      <c r="K107" s="224">
        <f t="shared" si="31"/>
        <v>0</v>
      </c>
      <c r="L107" s="224">
        <f t="shared" si="31"/>
        <v>0</v>
      </c>
      <c r="M107" s="224">
        <f t="shared" si="31"/>
        <v>0</v>
      </c>
      <c r="N107" s="224">
        <f t="shared" si="31"/>
        <v>0</v>
      </c>
      <c r="O107" s="224">
        <f t="shared" si="31"/>
        <v>0</v>
      </c>
      <c r="P107" s="224">
        <f t="shared" si="31"/>
        <v>0</v>
      </c>
      <c r="Q107" s="224">
        <f t="shared" si="31"/>
        <v>0</v>
      </c>
      <c r="R107" s="224">
        <f t="shared" si="31"/>
        <v>0</v>
      </c>
      <c r="S107" s="224">
        <f t="shared" si="31"/>
        <v>0</v>
      </c>
      <c r="T107" s="224">
        <f t="shared" si="31"/>
        <v>0</v>
      </c>
      <c r="U107" s="224">
        <f t="shared" si="31"/>
        <v>0</v>
      </c>
      <c r="V107" s="224">
        <f t="shared" si="31"/>
        <v>0</v>
      </c>
      <c r="W107" s="224">
        <f t="shared" si="31"/>
        <v>0</v>
      </c>
      <c r="X107" s="224">
        <f t="shared" si="31"/>
        <v>0</v>
      </c>
      <c r="Y107" s="224">
        <f t="shared" si="31"/>
        <v>0</v>
      </c>
      <c r="Z107" s="224">
        <f t="shared" si="30"/>
        <v>0</v>
      </c>
      <c r="AA107" s="224">
        <f t="shared" si="30"/>
        <v>0</v>
      </c>
      <c r="AB107" s="224">
        <f t="shared" si="30"/>
        <v>0</v>
      </c>
      <c r="AC107" s="224">
        <f t="shared" si="30"/>
        <v>0</v>
      </c>
      <c r="AD107" s="224">
        <f t="shared" si="30"/>
        <v>0</v>
      </c>
      <c r="AE107" s="224">
        <f t="shared" si="30"/>
        <v>0</v>
      </c>
      <c r="AF107" s="224">
        <f t="shared" si="30"/>
        <v>0</v>
      </c>
      <c r="AG107" s="224">
        <f t="shared" si="30"/>
        <v>0</v>
      </c>
      <c r="AH107" s="224">
        <f t="shared" si="30"/>
        <v>0</v>
      </c>
      <c r="AI107" s="224">
        <f t="shared" si="30"/>
        <v>0</v>
      </c>
      <c r="AJ107" s="224">
        <f t="shared" si="30"/>
        <v>0</v>
      </c>
      <c r="AK107" s="224">
        <f t="shared" si="30"/>
        <v>0</v>
      </c>
      <c r="AL107" s="224">
        <f t="shared" si="30"/>
        <v>0</v>
      </c>
      <c r="AM107" s="224">
        <f t="shared" si="30"/>
        <v>0</v>
      </c>
      <c r="AN107" s="224">
        <f t="shared" si="30"/>
        <v>0</v>
      </c>
      <c r="AO107" s="224">
        <f t="shared" si="30"/>
        <v>0</v>
      </c>
      <c r="AP107" s="224">
        <f t="shared" si="30"/>
        <v>0</v>
      </c>
      <c r="AQ107" s="224">
        <f t="shared" si="30"/>
        <v>0</v>
      </c>
      <c r="AR107" s="224">
        <f t="shared" si="30"/>
        <v>0</v>
      </c>
      <c r="AS107" s="224">
        <f t="shared" si="30"/>
        <v>0</v>
      </c>
    </row>
    <row r="108" spans="2:45" hidden="1" outlineLevel="1">
      <c r="B108" s="20" t="str">
        <f>'Input - Option 2 Detailed Input'!C129</f>
        <v xml:space="preserve">[Additional Costs #3] </v>
      </c>
      <c r="C108" s="30">
        <f>'Input - Option 2 Detailed Input'!G129</f>
        <v>0</v>
      </c>
      <c r="H108" s="343">
        <f t="shared" si="29"/>
        <v>0</v>
      </c>
      <c r="I108" s="211"/>
      <c r="J108" s="224">
        <f t="shared" si="31"/>
        <v>0</v>
      </c>
      <c r="K108" s="224">
        <f t="shared" si="30"/>
        <v>0</v>
      </c>
      <c r="L108" s="224">
        <f t="shared" si="30"/>
        <v>0</v>
      </c>
      <c r="M108" s="224">
        <f t="shared" si="30"/>
        <v>0</v>
      </c>
      <c r="N108" s="224">
        <f t="shared" si="30"/>
        <v>0</v>
      </c>
      <c r="O108" s="224">
        <f t="shared" si="30"/>
        <v>0</v>
      </c>
      <c r="P108" s="224">
        <f t="shared" si="30"/>
        <v>0</v>
      </c>
      <c r="Q108" s="224">
        <f t="shared" si="30"/>
        <v>0</v>
      </c>
      <c r="R108" s="224">
        <f t="shared" si="30"/>
        <v>0</v>
      </c>
      <c r="S108" s="224">
        <f t="shared" si="30"/>
        <v>0</v>
      </c>
      <c r="T108" s="224">
        <f t="shared" si="30"/>
        <v>0</v>
      </c>
      <c r="U108" s="224">
        <f t="shared" si="30"/>
        <v>0</v>
      </c>
      <c r="V108" s="224">
        <f t="shared" si="30"/>
        <v>0</v>
      </c>
      <c r="W108" s="224">
        <f t="shared" si="30"/>
        <v>0</v>
      </c>
      <c r="X108" s="224">
        <f t="shared" si="30"/>
        <v>0</v>
      </c>
      <c r="Y108" s="224">
        <f t="shared" si="30"/>
        <v>0</v>
      </c>
      <c r="Z108" s="224">
        <f t="shared" si="30"/>
        <v>0</v>
      </c>
      <c r="AA108" s="224">
        <f t="shared" si="30"/>
        <v>0</v>
      </c>
      <c r="AB108" s="224">
        <f t="shared" si="30"/>
        <v>0</v>
      </c>
      <c r="AC108" s="224">
        <f t="shared" si="30"/>
        <v>0</v>
      </c>
      <c r="AD108" s="224">
        <f t="shared" si="30"/>
        <v>0</v>
      </c>
      <c r="AE108" s="224">
        <f t="shared" si="30"/>
        <v>0</v>
      </c>
      <c r="AF108" s="224">
        <f t="shared" si="30"/>
        <v>0</v>
      </c>
      <c r="AG108" s="224">
        <f t="shared" si="30"/>
        <v>0</v>
      </c>
      <c r="AH108" s="224">
        <f t="shared" si="30"/>
        <v>0</v>
      </c>
      <c r="AI108" s="224">
        <f t="shared" si="30"/>
        <v>0</v>
      </c>
      <c r="AJ108" s="224">
        <f t="shared" si="30"/>
        <v>0</v>
      </c>
      <c r="AK108" s="224">
        <f t="shared" si="30"/>
        <v>0</v>
      </c>
      <c r="AL108" s="224">
        <f t="shared" si="30"/>
        <v>0</v>
      </c>
      <c r="AM108" s="224">
        <f t="shared" si="30"/>
        <v>0</v>
      </c>
      <c r="AN108" s="224">
        <f t="shared" si="30"/>
        <v>0</v>
      </c>
      <c r="AO108" s="224">
        <f t="shared" si="30"/>
        <v>0</v>
      </c>
      <c r="AP108" s="224">
        <f t="shared" si="30"/>
        <v>0</v>
      </c>
      <c r="AQ108" s="224">
        <f t="shared" si="30"/>
        <v>0</v>
      </c>
      <c r="AR108" s="224">
        <f t="shared" si="30"/>
        <v>0</v>
      </c>
      <c r="AS108" s="224">
        <f t="shared" si="30"/>
        <v>0</v>
      </c>
    </row>
    <row r="109" spans="2:45" hidden="1" outlineLevel="1">
      <c r="B109" s="20" t="str">
        <f>'Input - Option 2 Detailed Input'!C130</f>
        <v xml:space="preserve">[Additional Costs #4] </v>
      </c>
      <c r="C109" s="30">
        <f>'Input - Option 2 Detailed Input'!G130</f>
        <v>0</v>
      </c>
      <c r="H109" s="343">
        <f t="shared" si="29"/>
        <v>0</v>
      </c>
      <c r="I109" s="211"/>
      <c r="J109" s="224">
        <f>-IF(AND(J$3&gt;=$C$58,J$3&lt;=$D$58),($C109)*J$4,)</f>
        <v>0</v>
      </c>
      <c r="K109" s="224">
        <f t="shared" si="30"/>
        <v>0</v>
      </c>
      <c r="L109" s="224">
        <f t="shared" si="30"/>
        <v>0</v>
      </c>
      <c r="M109" s="224">
        <f t="shared" si="30"/>
        <v>0</v>
      </c>
      <c r="N109" s="224">
        <f t="shared" si="30"/>
        <v>0</v>
      </c>
      <c r="O109" s="224">
        <f t="shared" si="30"/>
        <v>0</v>
      </c>
      <c r="P109" s="224">
        <f t="shared" si="30"/>
        <v>0</v>
      </c>
      <c r="Q109" s="224">
        <f t="shared" si="30"/>
        <v>0</v>
      </c>
      <c r="R109" s="224">
        <f t="shared" si="30"/>
        <v>0</v>
      </c>
      <c r="S109" s="224">
        <f t="shared" si="30"/>
        <v>0</v>
      </c>
      <c r="T109" s="224">
        <f t="shared" si="30"/>
        <v>0</v>
      </c>
      <c r="U109" s="224">
        <f t="shared" si="30"/>
        <v>0</v>
      </c>
      <c r="V109" s="224">
        <f t="shared" si="30"/>
        <v>0</v>
      </c>
      <c r="W109" s="224">
        <f t="shared" si="30"/>
        <v>0</v>
      </c>
      <c r="X109" s="224">
        <f t="shared" si="30"/>
        <v>0</v>
      </c>
      <c r="Y109" s="224">
        <f t="shared" si="30"/>
        <v>0</v>
      </c>
      <c r="Z109" s="224">
        <f t="shared" si="30"/>
        <v>0</v>
      </c>
      <c r="AA109" s="224">
        <f t="shared" si="30"/>
        <v>0</v>
      </c>
      <c r="AB109" s="224">
        <f t="shared" si="30"/>
        <v>0</v>
      </c>
      <c r="AC109" s="224">
        <f t="shared" si="30"/>
        <v>0</v>
      </c>
      <c r="AD109" s="224">
        <f t="shared" si="30"/>
        <v>0</v>
      </c>
      <c r="AE109" s="224">
        <f t="shared" si="30"/>
        <v>0</v>
      </c>
      <c r="AF109" s="224">
        <f t="shared" si="30"/>
        <v>0</v>
      </c>
      <c r="AG109" s="224">
        <f t="shared" si="30"/>
        <v>0</v>
      </c>
      <c r="AH109" s="224">
        <f t="shared" si="30"/>
        <v>0</v>
      </c>
      <c r="AI109" s="224">
        <f t="shared" si="30"/>
        <v>0</v>
      </c>
      <c r="AJ109" s="224">
        <f t="shared" si="30"/>
        <v>0</v>
      </c>
      <c r="AK109" s="224">
        <f t="shared" si="30"/>
        <v>0</v>
      </c>
      <c r="AL109" s="224">
        <f t="shared" si="30"/>
        <v>0</v>
      </c>
      <c r="AM109" s="224">
        <f t="shared" si="30"/>
        <v>0</v>
      </c>
      <c r="AN109" s="224">
        <f t="shared" si="30"/>
        <v>0</v>
      </c>
      <c r="AO109" s="224">
        <f t="shared" si="30"/>
        <v>0</v>
      </c>
      <c r="AP109" s="224">
        <f t="shared" si="30"/>
        <v>0</v>
      </c>
      <c r="AQ109" s="224">
        <f t="shared" si="30"/>
        <v>0</v>
      </c>
      <c r="AR109" s="224">
        <f t="shared" si="30"/>
        <v>0</v>
      </c>
      <c r="AS109" s="224">
        <f t="shared" si="30"/>
        <v>0</v>
      </c>
    </row>
    <row r="110" spans="2:45" hidden="1" outlineLevel="1">
      <c r="B110" s="20" t="str">
        <f>'Input - Option 2 Detailed Input'!C131</f>
        <v xml:space="preserve">[Additional Costs #5] </v>
      </c>
      <c r="C110" s="30">
        <f>'Input - Option 2 Detailed Input'!G131</f>
        <v>0</v>
      </c>
      <c r="H110" s="343">
        <f t="shared" si="29"/>
        <v>0</v>
      </c>
      <c r="I110" s="211"/>
      <c r="J110" s="224">
        <f t="shared" si="31"/>
        <v>0</v>
      </c>
      <c r="K110" s="224">
        <f t="shared" si="30"/>
        <v>0</v>
      </c>
      <c r="L110" s="224">
        <f t="shared" si="30"/>
        <v>0</v>
      </c>
      <c r="M110" s="224">
        <f t="shared" si="30"/>
        <v>0</v>
      </c>
      <c r="N110" s="224">
        <f t="shared" si="30"/>
        <v>0</v>
      </c>
      <c r="O110" s="224">
        <f t="shared" si="30"/>
        <v>0</v>
      </c>
      <c r="P110" s="224">
        <f t="shared" si="30"/>
        <v>0</v>
      </c>
      <c r="Q110" s="224">
        <f t="shared" si="30"/>
        <v>0</v>
      </c>
      <c r="R110" s="224">
        <f t="shared" si="30"/>
        <v>0</v>
      </c>
      <c r="S110" s="224">
        <f t="shared" si="30"/>
        <v>0</v>
      </c>
      <c r="T110" s="224">
        <f t="shared" si="30"/>
        <v>0</v>
      </c>
      <c r="U110" s="224">
        <f t="shared" si="30"/>
        <v>0</v>
      </c>
      <c r="V110" s="224">
        <f t="shared" si="30"/>
        <v>0</v>
      </c>
      <c r="W110" s="224">
        <f t="shared" si="30"/>
        <v>0</v>
      </c>
      <c r="X110" s="224">
        <f t="shared" si="30"/>
        <v>0</v>
      </c>
      <c r="Y110" s="224">
        <f t="shared" si="30"/>
        <v>0</v>
      </c>
      <c r="Z110" s="224">
        <f t="shared" si="30"/>
        <v>0</v>
      </c>
      <c r="AA110" s="224">
        <f t="shared" si="30"/>
        <v>0</v>
      </c>
      <c r="AB110" s="224">
        <f t="shared" si="30"/>
        <v>0</v>
      </c>
      <c r="AC110" s="224">
        <f t="shared" si="30"/>
        <v>0</v>
      </c>
      <c r="AD110" s="224">
        <f t="shared" si="30"/>
        <v>0</v>
      </c>
      <c r="AE110" s="224">
        <f t="shared" si="30"/>
        <v>0</v>
      </c>
      <c r="AF110" s="224">
        <f t="shared" si="30"/>
        <v>0</v>
      </c>
      <c r="AG110" s="224">
        <f t="shared" si="30"/>
        <v>0</v>
      </c>
      <c r="AH110" s="224">
        <f t="shared" si="30"/>
        <v>0</v>
      </c>
      <c r="AI110" s="224">
        <f t="shared" si="30"/>
        <v>0</v>
      </c>
      <c r="AJ110" s="224">
        <f t="shared" si="30"/>
        <v>0</v>
      </c>
      <c r="AK110" s="224">
        <f t="shared" si="30"/>
        <v>0</v>
      </c>
      <c r="AL110" s="224">
        <f t="shared" si="30"/>
        <v>0</v>
      </c>
      <c r="AM110" s="224">
        <f t="shared" si="30"/>
        <v>0</v>
      </c>
      <c r="AN110" s="224">
        <f t="shared" si="30"/>
        <v>0</v>
      </c>
      <c r="AO110" s="224">
        <f t="shared" si="30"/>
        <v>0</v>
      </c>
      <c r="AP110" s="224">
        <f t="shared" si="30"/>
        <v>0</v>
      </c>
      <c r="AQ110" s="224">
        <f t="shared" si="30"/>
        <v>0</v>
      </c>
      <c r="AR110" s="224">
        <f t="shared" si="30"/>
        <v>0</v>
      </c>
      <c r="AS110" s="224">
        <f t="shared" si="30"/>
        <v>0</v>
      </c>
    </row>
    <row r="111" spans="2:45" hidden="1" outlineLevel="1">
      <c r="B111" s="20" t="str">
        <f>'Input - Option 2 Detailed Input'!C132</f>
        <v xml:space="preserve">[Additional Costs #6] </v>
      </c>
      <c r="C111" s="30">
        <f>'Input - Option 2 Detailed Input'!G132</f>
        <v>0</v>
      </c>
      <c r="H111" s="343">
        <f t="shared" si="29"/>
        <v>0</v>
      </c>
      <c r="I111" s="211"/>
      <c r="J111" s="224">
        <f t="shared" si="31"/>
        <v>0</v>
      </c>
      <c r="K111" s="224">
        <f t="shared" si="30"/>
        <v>0</v>
      </c>
      <c r="L111" s="224">
        <f t="shared" si="30"/>
        <v>0</v>
      </c>
      <c r="M111" s="224">
        <f t="shared" si="30"/>
        <v>0</v>
      </c>
      <c r="N111" s="224">
        <f t="shared" si="30"/>
        <v>0</v>
      </c>
      <c r="O111" s="224">
        <f t="shared" si="30"/>
        <v>0</v>
      </c>
      <c r="P111" s="224">
        <f t="shared" si="30"/>
        <v>0</v>
      </c>
      <c r="Q111" s="224">
        <f t="shared" si="30"/>
        <v>0</v>
      </c>
      <c r="R111" s="224">
        <f t="shared" si="30"/>
        <v>0</v>
      </c>
      <c r="S111" s="224">
        <f t="shared" si="30"/>
        <v>0</v>
      </c>
      <c r="T111" s="224">
        <f t="shared" si="30"/>
        <v>0</v>
      </c>
      <c r="U111" s="224">
        <f t="shared" si="30"/>
        <v>0</v>
      </c>
      <c r="V111" s="224">
        <f t="shared" si="30"/>
        <v>0</v>
      </c>
      <c r="W111" s="224">
        <f t="shared" si="30"/>
        <v>0</v>
      </c>
      <c r="X111" s="224">
        <f t="shared" si="30"/>
        <v>0</v>
      </c>
      <c r="Y111" s="224">
        <f t="shared" si="30"/>
        <v>0</v>
      </c>
      <c r="Z111" s="224">
        <f t="shared" si="30"/>
        <v>0</v>
      </c>
      <c r="AA111" s="224">
        <f t="shared" si="30"/>
        <v>0</v>
      </c>
      <c r="AB111" s="224">
        <f t="shared" si="30"/>
        <v>0</v>
      </c>
      <c r="AC111" s="224">
        <f t="shared" si="30"/>
        <v>0</v>
      </c>
      <c r="AD111" s="224">
        <f t="shared" si="30"/>
        <v>0</v>
      </c>
      <c r="AE111" s="224">
        <f t="shared" si="30"/>
        <v>0</v>
      </c>
      <c r="AF111" s="224">
        <f t="shared" si="30"/>
        <v>0</v>
      </c>
      <c r="AG111" s="224">
        <f t="shared" si="30"/>
        <v>0</v>
      </c>
      <c r="AH111" s="224">
        <f t="shared" si="30"/>
        <v>0</v>
      </c>
      <c r="AI111" s="224">
        <f t="shared" si="30"/>
        <v>0</v>
      </c>
      <c r="AJ111" s="224">
        <f t="shared" si="30"/>
        <v>0</v>
      </c>
      <c r="AK111" s="224">
        <f t="shared" si="30"/>
        <v>0</v>
      </c>
      <c r="AL111" s="224">
        <f t="shared" si="30"/>
        <v>0</v>
      </c>
      <c r="AM111" s="224">
        <f t="shared" si="30"/>
        <v>0</v>
      </c>
      <c r="AN111" s="224">
        <f t="shared" si="30"/>
        <v>0</v>
      </c>
      <c r="AO111" s="224">
        <f t="shared" si="30"/>
        <v>0</v>
      </c>
      <c r="AP111" s="224">
        <f t="shared" si="30"/>
        <v>0</v>
      </c>
      <c r="AQ111" s="224">
        <f t="shared" si="30"/>
        <v>0</v>
      </c>
      <c r="AR111" s="224">
        <f t="shared" si="30"/>
        <v>0</v>
      </c>
      <c r="AS111" s="224">
        <f t="shared" si="30"/>
        <v>0</v>
      </c>
    </row>
    <row r="112" spans="2:45" hidden="1" outlineLevel="1">
      <c r="B112" s="20" t="str">
        <f>'Input - Option 2 Detailed Input'!C133</f>
        <v xml:space="preserve">[Additional Costs #7] </v>
      </c>
      <c r="C112" s="30">
        <f>'Input - Option 2 Detailed Input'!G133</f>
        <v>0</v>
      </c>
      <c r="H112" s="343">
        <f t="shared" si="29"/>
        <v>0</v>
      </c>
      <c r="I112" s="211"/>
      <c r="J112" s="224">
        <f t="shared" si="31"/>
        <v>0</v>
      </c>
      <c r="K112" s="224">
        <f t="shared" si="30"/>
        <v>0</v>
      </c>
      <c r="L112" s="224">
        <f t="shared" si="30"/>
        <v>0</v>
      </c>
      <c r="M112" s="224">
        <f t="shared" si="30"/>
        <v>0</v>
      </c>
      <c r="N112" s="224">
        <f t="shared" si="30"/>
        <v>0</v>
      </c>
      <c r="O112" s="224">
        <f t="shared" si="30"/>
        <v>0</v>
      </c>
      <c r="P112" s="224">
        <f t="shared" si="30"/>
        <v>0</v>
      </c>
      <c r="Q112" s="224">
        <f t="shared" si="30"/>
        <v>0</v>
      </c>
      <c r="R112" s="224">
        <f t="shared" si="30"/>
        <v>0</v>
      </c>
      <c r="S112" s="224">
        <f t="shared" si="30"/>
        <v>0</v>
      </c>
      <c r="T112" s="224">
        <f t="shared" si="30"/>
        <v>0</v>
      </c>
      <c r="U112" s="224">
        <f t="shared" si="30"/>
        <v>0</v>
      </c>
      <c r="V112" s="224">
        <f t="shared" si="30"/>
        <v>0</v>
      </c>
      <c r="W112" s="224">
        <f t="shared" si="30"/>
        <v>0</v>
      </c>
      <c r="X112" s="224">
        <f t="shared" si="30"/>
        <v>0</v>
      </c>
      <c r="Y112" s="224">
        <f t="shared" si="30"/>
        <v>0</v>
      </c>
      <c r="Z112" s="224">
        <f t="shared" si="30"/>
        <v>0</v>
      </c>
      <c r="AA112" s="224">
        <f t="shared" si="30"/>
        <v>0</v>
      </c>
      <c r="AB112" s="224">
        <f t="shared" si="30"/>
        <v>0</v>
      </c>
      <c r="AC112" s="224">
        <f t="shared" si="30"/>
        <v>0</v>
      </c>
      <c r="AD112" s="224">
        <f t="shared" si="30"/>
        <v>0</v>
      </c>
      <c r="AE112" s="224">
        <f t="shared" si="30"/>
        <v>0</v>
      </c>
      <c r="AF112" s="224">
        <f t="shared" si="30"/>
        <v>0</v>
      </c>
      <c r="AG112" s="224">
        <f t="shared" si="30"/>
        <v>0</v>
      </c>
      <c r="AH112" s="224">
        <f t="shared" si="30"/>
        <v>0</v>
      </c>
      <c r="AI112" s="224">
        <f t="shared" si="30"/>
        <v>0</v>
      </c>
      <c r="AJ112" s="224">
        <f t="shared" si="30"/>
        <v>0</v>
      </c>
      <c r="AK112" s="224">
        <f t="shared" si="30"/>
        <v>0</v>
      </c>
      <c r="AL112" s="224">
        <f t="shared" si="30"/>
        <v>0</v>
      </c>
      <c r="AM112" s="224">
        <f t="shared" si="30"/>
        <v>0</v>
      </c>
      <c r="AN112" s="224">
        <f t="shared" si="30"/>
        <v>0</v>
      </c>
      <c r="AO112" s="224">
        <f t="shared" si="30"/>
        <v>0</v>
      </c>
      <c r="AP112" s="224">
        <f t="shared" si="30"/>
        <v>0</v>
      </c>
      <c r="AQ112" s="224">
        <f t="shared" si="30"/>
        <v>0</v>
      </c>
      <c r="AR112" s="224">
        <f t="shared" si="30"/>
        <v>0</v>
      </c>
      <c r="AS112" s="224">
        <f t="shared" si="30"/>
        <v>0</v>
      </c>
    </row>
    <row r="113" spans="1:140" hidden="1" outlineLevel="1">
      <c r="B113" s="20" t="str">
        <f>'Input - Option 2 Detailed Input'!C134</f>
        <v>[Additional Costs #8]</v>
      </c>
      <c r="C113" s="30">
        <f>'Input - Option 2 Detailed Input'!G134</f>
        <v>0</v>
      </c>
      <c r="H113" s="343">
        <f t="shared" si="29"/>
        <v>0</v>
      </c>
      <c r="I113" s="211"/>
      <c r="J113" s="224">
        <f t="shared" si="31"/>
        <v>0</v>
      </c>
      <c r="K113" s="224">
        <f t="shared" si="30"/>
        <v>0</v>
      </c>
      <c r="L113" s="224">
        <f t="shared" si="30"/>
        <v>0</v>
      </c>
      <c r="M113" s="224">
        <f t="shared" si="30"/>
        <v>0</v>
      </c>
      <c r="N113" s="224">
        <f t="shared" si="30"/>
        <v>0</v>
      </c>
      <c r="O113" s="224">
        <f t="shared" si="30"/>
        <v>0</v>
      </c>
      <c r="P113" s="224">
        <f t="shared" si="30"/>
        <v>0</v>
      </c>
      <c r="Q113" s="224">
        <f t="shared" si="30"/>
        <v>0</v>
      </c>
      <c r="R113" s="224">
        <f t="shared" si="30"/>
        <v>0</v>
      </c>
      <c r="S113" s="224">
        <f t="shared" si="30"/>
        <v>0</v>
      </c>
      <c r="T113" s="224">
        <f t="shared" si="30"/>
        <v>0</v>
      </c>
      <c r="U113" s="224">
        <f t="shared" si="30"/>
        <v>0</v>
      </c>
      <c r="V113" s="224">
        <f t="shared" si="30"/>
        <v>0</v>
      </c>
      <c r="W113" s="224">
        <f t="shared" si="30"/>
        <v>0</v>
      </c>
      <c r="X113" s="224">
        <f t="shared" si="30"/>
        <v>0</v>
      </c>
      <c r="Y113" s="224">
        <f t="shared" si="30"/>
        <v>0</v>
      </c>
      <c r="Z113" s="224">
        <f t="shared" si="30"/>
        <v>0</v>
      </c>
      <c r="AA113" s="224">
        <f t="shared" si="30"/>
        <v>0</v>
      </c>
      <c r="AB113" s="224">
        <f t="shared" si="30"/>
        <v>0</v>
      </c>
      <c r="AC113" s="224">
        <f t="shared" si="30"/>
        <v>0</v>
      </c>
      <c r="AD113" s="224">
        <f t="shared" si="30"/>
        <v>0</v>
      </c>
      <c r="AE113" s="224">
        <f t="shared" si="30"/>
        <v>0</v>
      </c>
      <c r="AF113" s="224">
        <f t="shared" si="30"/>
        <v>0</v>
      </c>
      <c r="AG113" s="224">
        <f t="shared" si="30"/>
        <v>0</v>
      </c>
      <c r="AH113" s="224">
        <f t="shared" si="30"/>
        <v>0</v>
      </c>
      <c r="AI113" s="224">
        <f t="shared" si="30"/>
        <v>0</v>
      </c>
      <c r="AJ113" s="224">
        <f t="shared" ref="K113:AS115" si="32">-IF(AND(AJ$3&gt;=$C$58,AJ$3&lt;=$D$58),($C113)*AJ$4,)</f>
        <v>0</v>
      </c>
      <c r="AK113" s="224">
        <f t="shared" si="32"/>
        <v>0</v>
      </c>
      <c r="AL113" s="224">
        <f t="shared" si="32"/>
        <v>0</v>
      </c>
      <c r="AM113" s="224">
        <f t="shared" si="32"/>
        <v>0</v>
      </c>
      <c r="AN113" s="224">
        <f t="shared" si="32"/>
        <v>0</v>
      </c>
      <c r="AO113" s="224">
        <f t="shared" si="32"/>
        <v>0</v>
      </c>
      <c r="AP113" s="224">
        <f t="shared" si="32"/>
        <v>0</v>
      </c>
      <c r="AQ113" s="224">
        <f t="shared" si="32"/>
        <v>0</v>
      </c>
      <c r="AR113" s="224">
        <f t="shared" si="32"/>
        <v>0</v>
      </c>
      <c r="AS113" s="224">
        <f t="shared" si="32"/>
        <v>0</v>
      </c>
    </row>
    <row r="114" spans="1:140" hidden="1" outlineLevel="1">
      <c r="B114" s="20" t="str">
        <f>'Input - Option 2 Detailed Input'!C135</f>
        <v xml:space="preserve">[Additional Costs #9] </v>
      </c>
      <c r="C114" s="30">
        <f>'Input - Option 2 Detailed Input'!G135</f>
        <v>0</v>
      </c>
      <c r="H114" s="343">
        <f t="shared" si="29"/>
        <v>0</v>
      </c>
      <c r="I114" s="211"/>
      <c r="J114" s="224">
        <f t="shared" si="31"/>
        <v>0</v>
      </c>
      <c r="K114" s="224">
        <f t="shared" si="32"/>
        <v>0</v>
      </c>
      <c r="L114" s="224">
        <f t="shared" si="32"/>
        <v>0</v>
      </c>
      <c r="M114" s="224">
        <f t="shared" si="32"/>
        <v>0</v>
      </c>
      <c r="N114" s="224">
        <f t="shared" si="32"/>
        <v>0</v>
      </c>
      <c r="O114" s="224">
        <f t="shared" si="32"/>
        <v>0</v>
      </c>
      <c r="P114" s="224">
        <f t="shared" si="32"/>
        <v>0</v>
      </c>
      <c r="Q114" s="224">
        <f t="shared" si="32"/>
        <v>0</v>
      </c>
      <c r="R114" s="224">
        <f t="shared" si="32"/>
        <v>0</v>
      </c>
      <c r="S114" s="224">
        <f t="shared" si="32"/>
        <v>0</v>
      </c>
      <c r="T114" s="224">
        <f t="shared" si="32"/>
        <v>0</v>
      </c>
      <c r="U114" s="224">
        <f t="shared" si="32"/>
        <v>0</v>
      </c>
      <c r="V114" s="224">
        <f t="shared" si="32"/>
        <v>0</v>
      </c>
      <c r="W114" s="224">
        <f t="shared" si="32"/>
        <v>0</v>
      </c>
      <c r="X114" s="224">
        <f t="shared" si="32"/>
        <v>0</v>
      </c>
      <c r="Y114" s="224">
        <f t="shared" si="32"/>
        <v>0</v>
      </c>
      <c r="Z114" s="224">
        <f t="shared" si="32"/>
        <v>0</v>
      </c>
      <c r="AA114" s="224">
        <f t="shared" si="32"/>
        <v>0</v>
      </c>
      <c r="AB114" s="224">
        <f t="shared" si="32"/>
        <v>0</v>
      </c>
      <c r="AC114" s="224">
        <f t="shared" si="32"/>
        <v>0</v>
      </c>
      <c r="AD114" s="224">
        <f t="shared" si="32"/>
        <v>0</v>
      </c>
      <c r="AE114" s="224">
        <f t="shared" si="32"/>
        <v>0</v>
      </c>
      <c r="AF114" s="224">
        <f t="shared" si="32"/>
        <v>0</v>
      </c>
      <c r="AG114" s="224">
        <f t="shared" si="32"/>
        <v>0</v>
      </c>
      <c r="AH114" s="224">
        <f t="shared" si="32"/>
        <v>0</v>
      </c>
      <c r="AI114" s="224">
        <f t="shared" si="32"/>
        <v>0</v>
      </c>
      <c r="AJ114" s="224">
        <f t="shared" si="32"/>
        <v>0</v>
      </c>
      <c r="AK114" s="224">
        <f t="shared" si="32"/>
        <v>0</v>
      </c>
      <c r="AL114" s="224">
        <f t="shared" si="32"/>
        <v>0</v>
      </c>
      <c r="AM114" s="224">
        <f t="shared" si="32"/>
        <v>0</v>
      </c>
      <c r="AN114" s="224">
        <f t="shared" si="32"/>
        <v>0</v>
      </c>
      <c r="AO114" s="224">
        <f t="shared" si="32"/>
        <v>0</v>
      </c>
      <c r="AP114" s="224">
        <f t="shared" si="32"/>
        <v>0</v>
      </c>
      <c r="AQ114" s="224">
        <f t="shared" si="32"/>
        <v>0</v>
      </c>
      <c r="AR114" s="224">
        <f t="shared" si="32"/>
        <v>0</v>
      </c>
      <c r="AS114" s="224">
        <f t="shared" si="32"/>
        <v>0</v>
      </c>
    </row>
    <row r="115" spans="1:140" hidden="1" outlineLevel="1">
      <c r="B115" s="20" t="str">
        <f>'Input - Option 2 Detailed Input'!C136</f>
        <v>[Additional Costs #10]</v>
      </c>
      <c r="C115" s="30">
        <f>'Input - Option 2 Detailed Input'!G136</f>
        <v>0</v>
      </c>
      <c r="H115" s="343">
        <f>SUM(J115:EJ115)</f>
        <v>0</v>
      </c>
      <c r="I115" s="211"/>
      <c r="J115" s="224">
        <f t="shared" si="31"/>
        <v>0</v>
      </c>
      <c r="K115" s="224">
        <f t="shared" si="32"/>
        <v>0</v>
      </c>
      <c r="L115" s="224">
        <f t="shared" si="32"/>
        <v>0</v>
      </c>
      <c r="M115" s="224">
        <f t="shared" si="32"/>
        <v>0</v>
      </c>
      <c r="N115" s="224">
        <f t="shared" si="32"/>
        <v>0</v>
      </c>
      <c r="O115" s="224">
        <f t="shared" si="32"/>
        <v>0</v>
      </c>
      <c r="P115" s="224">
        <f t="shared" si="32"/>
        <v>0</v>
      </c>
      <c r="Q115" s="224">
        <f t="shared" si="32"/>
        <v>0</v>
      </c>
      <c r="R115" s="224">
        <f t="shared" si="32"/>
        <v>0</v>
      </c>
      <c r="S115" s="224">
        <f t="shared" si="32"/>
        <v>0</v>
      </c>
      <c r="T115" s="224">
        <f t="shared" si="32"/>
        <v>0</v>
      </c>
      <c r="U115" s="224">
        <f t="shared" si="32"/>
        <v>0</v>
      </c>
      <c r="V115" s="224">
        <f t="shared" si="32"/>
        <v>0</v>
      </c>
      <c r="W115" s="224">
        <f t="shared" si="32"/>
        <v>0</v>
      </c>
      <c r="X115" s="224">
        <f t="shared" si="32"/>
        <v>0</v>
      </c>
      <c r="Y115" s="224">
        <f t="shared" si="32"/>
        <v>0</v>
      </c>
      <c r="Z115" s="224">
        <f t="shared" si="32"/>
        <v>0</v>
      </c>
      <c r="AA115" s="224">
        <f t="shared" si="32"/>
        <v>0</v>
      </c>
      <c r="AB115" s="224">
        <f t="shared" si="32"/>
        <v>0</v>
      </c>
      <c r="AC115" s="224">
        <f t="shared" si="32"/>
        <v>0</v>
      </c>
      <c r="AD115" s="224">
        <f t="shared" si="32"/>
        <v>0</v>
      </c>
      <c r="AE115" s="224">
        <f t="shared" si="32"/>
        <v>0</v>
      </c>
      <c r="AF115" s="224">
        <f t="shared" si="32"/>
        <v>0</v>
      </c>
      <c r="AG115" s="224">
        <f t="shared" si="32"/>
        <v>0</v>
      </c>
      <c r="AH115" s="224">
        <f t="shared" si="32"/>
        <v>0</v>
      </c>
      <c r="AI115" s="224">
        <f t="shared" si="32"/>
        <v>0</v>
      </c>
      <c r="AJ115" s="224">
        <f t="shared" si="32"/>
        <v>0</v>
      </c>
      <c r="AK115" s="224">
        <f t="shared" si="32"/>
        <v>0</v>
      </c>
      <c r="AL115" s="224">
        <f t="shared" si="32"/>
        <v>0</v>
      </c>
      <c r="AM115" s="224">
        <f t="shared" si="32"/>
        <v>0</v>
      </c>
      <c r="AN115" s="224">
        <f t="shared" si="32"/>
        <v>0</v>
      </c>
      <c r="AO115" s="224">
        <f t="shared" si="32"/>
        <v>0</v>
      </c>
      <c r="AP115" s="224">
        <f t="shared" si="32"/>
        <v>0</v>
      </c>
      <c r="AQ115" s="224">
        <f t="shared" si="32"/>
        <v>0</v>
      </c>
      <c r="AR115" s="224">
        <f t="shared" si="32"/>
        <v>0</v>
      </c>
      <c r="AS115" s="224">
        <f t="shared" si="32"/>
        <v>0</v>
      </c>
    </row>
    <row r="116" spans="1:140" hidden="1" outlineLevel="1">
      <c r="H116" s="53"/>
      <c r="I116" s="216"/>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row>
    <row r="117" spans="1:140" hidden="1" outlineLevel="1">
      <c r="A117" s="15"/>
      <c r="B117" s="454" t="s">
        <v>309</v>
      </c>
      <c r="C117" s="454"/>
      <c r="D117" s="454"/>
      <c r="E117" s="454"/>
      <c r="F117" s="454"/>
      <c r="G117" s="455"/>
      <c r="H117" s="259">
        <f>SUM(H106:H115,H98:H103,H83:H95,H72:H79,H62:H69)</f>
        <v>0</v>
      </c>
      <c r="I117" s="215"/>
      <c r="J117" s="225">
        <f>SUM(J106:J115,J98:J103,J83:J95,J72:J79,J62:J69)</f>
        <v>0</v>
      </c>
      <c r="K117" s="225">
        <f t="shared" ref="K117:AS117" si="33">SUM(K106:K115,K98:K103,K83:K95,K72:K79,K62:K69)</f>
        <v>0</v>
      </c>
      <c r="L117" s="225">
        <f t="shared" si="33"/>
        <v>0</v>
      </c>
      <c r="M117" s="225">
        <f t="shared" si="33"/>
        <v>0</v>
      </c>
      <c r="N117" s="225">
        <f t="shared" si="33"/>
        <v>0</v>
      </c>
      <c r="O117" s="225">
        <f t="shared" si="33"/>
        <v>0</v>
      </c>
      <c r="P117" s="225">
        <f t="shared" si="33"/>
        <v>0</v>
      </c>
      <c r="Q117" s="225">
        <f t="shared" si="33"/>
        <v>0</v>
      </c>
      <c r="R117" s="225">
        <f t="shared" si="33"/>
        <v>0</v>
      </c>
      <c r="S117" s="225">
        <f t="shared" si="33"/>
        <v>0</v>
      </c>
      <c r="T117" s="225">
        <f t="shared" si="33"/>
        <v>0</v>
      </c>
      <c r="U117" s="225">
        <f t="shared" si="33"/>
        <v>0</v>
      </c>
      <c r="V117" s="225">
        <f t="shared" si="33"/>
        <v>0</v>
      </c>
      <c r="W117" s="225">
        <f t="shared" si="33"/>
        <v>0</v>
      </c>
      <c r="X117" s="225">
        <f t="shared" si="33"/>
        <v>0</v>
      </c>
      <c r="Y117" s="225">
        <f t="shared" si="33"/>
        <v>0</v>
      </c>
      <c r="Z117" s="225">
        <f t="shared" si="33"/>
        <v>0</v>
      </c>
      <c r="AA117" s="225">
        <f t="shared" si="33"/>
        <v>0</v>
      </c>
      <c r="AB117" s="225">
        <f t="shared" si="33"/>
        <v>0</v>
      </c>
      <c r="AC117" s="225">
        <f t="shared" si="33"/>
        <v>0</v>
      </c>
      <c r="AD117" s="225">
        <f t="shared" si="33"/>
        <v>0</v>
      </c>
      <c r="AE117" s="225">
        <f t="shared" si="33"/>
        <v>0</v>
      </c>
      <c r="AF117" s="225">
        <f t="shared" si="33"/>
        <v>0</v>
      </c>
      <c r="AG117" s="225">
        <f t="shared" si="33"/>
        <v>0</v>
      </c>
      <c r="AH117" s="225">
        <f t="shared" si="33"/>
        <v>0</v>
      </c>
      <c r="AI117" s="225">
        <f t="shared" si="33"/>
        <v>0</v>
      </c>
      <c r="AJ117" s="225">
        <f t="shared" si="33"/>
        <v>0</v>
      </c>
      <c r="AK117" s="225">
        <f t="shared" si="33"/>
        <v>0</v>
      </c>
      <c r="AL117" s="225">
        <f t="shared" si="33"/>
        <v>0</v>
      </c>
      <c r="AM117" s="225">
        <f t="shared" si="33"/>
        <v>0</v>
      </c>
      <c r="AN117" s="225">
        <f t="shared" si="33"/>
        <v>0</v>
      </c>
      <c r="AO117" s="225">
        <f t="shared" si="33"/>
        <v>0</v>
      </c>
      <c r="AP117" s="225">
        <f t="shared" si="33"/>
        <v>0</v>
      </c>
      <c r="AQ117" s="225">
        <f t="shared" si="33"/>
        <v>0</v>
      </c>
      <c r="AR117" s="225">
        <f t="shared" si="33"/>
        <v>0</v>
      </c>
      <c r="AS117" s="225">
        <f t="shared" si="33"/>
        <v>0</v>
      </c>
    </row>
    <row r="118" spans="1:140" collapsed="1">
      <c r="H118" s="17"/>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row>
    <row r="119" spans="1:140" s="294" customFormat="1" ht="23.45">
      <c r="A119" s="293"/>
      <c r="B119" s="293" t="str">
        <f>'Input - Option 2 Detailed Input'!C140</f>
        <v>4. Tree establishment and early maintenance costs</v>
      </c>
      <c r="C119" s="296"/>
      <c r="D119" s="296"/>
      <c r="E119" s="296"/>
      <c r="F119" s="296"/>
      <c r="G119" s="296"/>
      <c r="H119" s="297"/>
      <c r="I119" s="296"/>
      <c r="J119" s="298"/>
      <c r="K119" s="298"/>
      <c r="L119" s="298"/>
      <c r="M119" s="298"/>
      <c r="N119" s="298"/>
      <c r="O119" s="298"/>
      <c r="P119" s="298"/>
      <c r="Q119" s="298"/>
      <c r="R119" s="298"/>
      <c r="S119" s="298"/>
      <c r="T119" s="298"/>
      <c r="U119" s="298"/>
      <c r="V119" s="298"/>
      <c r="W119" s="298"/>
      <c r="X119" s="298"/>
      <c r="Y119" s="298"/>
      <c r="Z119" s="298"/>
      <c r="AA119" s="298"/>
      <c r="AB119" s="298"/>
      <c r="AC119" s="298"/>
      <c r="AD119" s="298"/>
      <c r="AE119" s="298"/>
      <c r="AF119" s="298"/>
      <c r="AG119" s="298"/>
      <c r="AH119" s="298"/>
      <c r="AI119" s="298"/>
      <c r="AJ119" s="298"/>
      <c r="AK119" s="298"/>
      <c r="AL119" s="298"/>
      <c r="AM119" s="298"/>
      <c r="AN119" s="298"/>
      <c r="AO119" s="298"/>
      <c r="AP119" s="298"/>
      <c r="AQ119" s="298"/>
      <c r="AR119" s="298"/>
      <c r="AS119" s="298"/>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row>
    <row r="120" spans="1:140" hidden="1" outlineLevel="1">
      <c r="H120" s="35"/>
      <c r="I120" s="213"/>
    </row>
    <row r="121" spans="1:140" ht="29.1" hidden="1" outlineLevel="1">
      <c r="B121" s="9" t="str">
        <f>'Input - Option 2 Detailed Input'!C149</f>
        <v>Tree Failure Rate</v>
      </c>
      <c r="C121" s="25" t="str">
        <f>'Input - Option 2 Detailed Input'!I149</f>
        <v>Total Costs excl. inflation</v>
      </c>
      <c r="D121" s="25" t="str">
        <f>'Input - Option 2 Detailed Input'!F149</f>
        <v>Year to include the cost in</v>
      </c>
      <c r="H121" s="35"/>
      <c r="I121" s="213"/>
    </row>
    <row r="122" spans="1:140" hidden="1" outlineLevel="1">
      <c r="B122" s="9" t="str">
        <f>'Input - Option 2 Detailed Input'!C151</f>
        <v>Replacement costs per tree</v>
      </c>
      <c r="C122" s="30">
        <f>'Input - Option 2 Detailed Input'!I150</f>
        <v>0</v>
      </c>
      <c r="D122" s="241">
        <f>'Input - Option 2 Detailed Input'!F150</f>
        <v>0</v>
      </c>
      <c r="H122" s="343">
        <f>SUM(J122:EJ122)</f>
        <v>0</v>
      </c>
      <c r="I122" s="211"/>
      <c r="J122" s="224">
        <f>IF((J$3=$D$122),($C122)*J$4,)</f>
        <v>0</v>
      </c>
      <c r="K122" s="224">
        <f t="shared" ref="K122:AS122" si="34">IF((K$3=$D$122),($C122)*K$4,)</f>
        <v>0</v>
      </c>
      <c r="L122" s="224">
        <f t="shared" si="34"/>
        <v>0</v>
      </c>
      <c r="M122" s="224">
        <f t="shared" si="34"/>
        <v>0</v>
      </c>
      <c r="N122" s="224">
        <f t="shared" si="34"/>
        <v>0</v>
      </c>
      <c r="O122" s="224">
        <f t="shared" si="34"/>
        <v>0</v>
      </c>
      <c r="P122" s="224">
        <f t="shared" si="34"/>
        <v>0</v>
      </c>
      <c r="Q122" s="224">
        <f t="shared" si="34"/>
        <v>0</v>
      </c>
      <c r="R122" s="224">
        <f t="shared" si="34"/>
        <v>0</v>
      </c>
      <c r="S122" s="224">
        <f t="shared" si="34"/>
        <v>0</v>
      </c>
      <c r="T122" s="224">
        <f t="shared" si="34"/>
        <v>0</v>
      </c>
      <c r="U122" s="224">
        <f t="shared" si="34"/>
        <v>0</v>
      </c>
      <c r="V122" s="224">
        <f t="shared" si="34"/>
        <v>0</v>
      </c>
      <c r="W122" s="224">
        <f t="shared" si="34"/>
        <v>0</v>
      </c>
      <c r="X122" s="224">
        <f t="shared" si="34"/>
        <v>0</v>
      </c>
      <c r="Y122" s="224">
        <f t="shared" si="34"/>
        <v>0</v>
      </c>
      <c r="Z122" s="224">
        <f t="shared" si="34"/>
        <v>0</v>
      </c>
      <c r="AA122" s="224">
        <f t="shared" si="34"/>
        <v>0</v>
      </c>
      <c r="AB122" s="224">
        <f t="shared" si="34"/>
        <v>0</v>
      </c>
      <c r="AC122" s="224">
        <f t="shared" si="34"/>
        <v>0</v>
      </c>
      <c r="AD122" s="224">
        <f t="shared" si="34"/>
        <v>0</v>
      </c>
      <c r="AE122" s="224">
        <f t="shared" si="34"/>
        <v>0</v>
      </c>
      <c r="AF122" s="224">
        <f t="shared" si="34"/>
        <v>0</v>
      </c>
      <c r="AG122" s="224">
        <f t="shared" si="34"/>
        <v>0</v>
      </c>
      <c r="AH122" s="224">
        <f t="shared" si="34"/>
        <v>0</v>
      </c>
      <c r="AI122" s="224">
        <f t="shared" si="34"/>
        <v>0</v>
      </c>
      <c r="AJ122" s="224">
        <f t="shared" si="34"/>
        <v>0</v>
      </c>
      <c r="AK122" s="224">
        <f t="shared" si="34"/>
        <v>0</v>
      </c>
      <c r="AL122" s="224">
        <f t="shared" si="34"/>
        <v>0</v>
      </c>
      <c r="AM122" s="224">
        <f t="shared" si="34"/>
        <v>0</v>
      </c>
      <c r="AN122" s="224">
        <f t="shared" si="34"/>
        <v>0</v>
      </c>
      <c r="AO122" s="224">
        <f t="shared" si="34"/>
        <v>0</v>
      </c>
      <c r="AP122" s="224">
        <f t="shared" si="34"/>
        <v>0</v>
      </c>
      <c r="AQ122" s="224">
        <f t="shared" si="34"/>
        <v>0</v>
      </c>
      <c r="AR122" s="224">
        <f t="shared" si="34"/>
        <v>0</v>
      </c>
      <c r="AS122" s="224">
        <f t="shared" si="34"/>
        <v>0</v>
      </c>
    </row>
    <row r="123" spans="1:140" hidden="1" outlineLevel="1">
      <c r="H123" s="343"/>
      <c r="I123" s="213"/>
      <c r="J123" s="224"/>
      <c r="K123" s="224"/>
      <c r="L123" s="224"/>
      <c r="M123" s="224"/>
      <c r="N123" s="224"/>
      <c r="O123" s="224"/>
      <c r="P123" s="224"/>
      <c r="Q123" s="224"/>
      <c r="R123" s="224"/>
      <c r="S123" s="224"/>
      <c r="T123" s="224"/>
      <c r="U123" s="224"/>
      <c r="V123" s="224"/>
      <c r="W123" s="224"/>
      <c r="X123" s="224"/>
      <c r="Y123" s="224"/>
      <c r="Z123" s="224"/>
      <c r="AA123" s="224"/>
      <c r="AB123" s="224"/>
      <c r="AC123" s="224"/>
      <c r="AD123" s="224"/>
      <c r="AE123" s="224"/>
      <c r="AF123" s="224"/>
      <c r="AG123" s="224"/>
      <c r="AH123" s="224"/>
      <c r="AI123" s="224"/>
      <c r="AJ123" s="224"/>
      <c r="AK123" s="224"/>
      <c r="AL123" s="224"/>
      <c r="AM123" s="224"/>
      <c r="AN123" s="224"/>
      <c r="AO123" s="224"/>
      <c r="AP123" s="224"/>
      <c r="AQ123" s="224"/>
      <c r="AR123" s="224"/>
      <c r="AS123" s="224"/>
    </row>
    <row r="124" spans="1:140" hidden="1" outlineLevel="2">
      <c r="B124" s="103" t="str">
        <f>'Input - Option 2 Detailed Input'!C154</f>
        <v>Year 1 of establishment and maintenance</v>
      </c>
      <c r="C124" s="25" t="str">
        <f>'Input - Option 2 Detailed Input'!H155</f>
        <v>Total Costs (per visit)</v>
      </c>
      <c r="D124" s="39" t="str">
        <f>IF(C3=C4,'Input - Option 2 Detailed Input'!D154,"-")</f>
        <v>-</v>
      </c>
      <c r="H124" s="343"/>
      <c r="I124" s="213"/>
      <c r="J124" s="224"/>
      <c r="K124" s="224"/>
      <c r="L124" s="224"/>
      <c r="M124" s="224"/>
      <c r="N124" s="224"/>
      <c r="O124" s="224"/>
      <c r="P124" s="224"/>
      <c r="Q124" s="224"/>
      <c r="R124" s="224"/>
      <c r="S124" s="224"/>
      <c r="T124" s="224"/>
      <c r="U124" s="224"/>
      <c r="V124" s="224"/>
      <c r="W124" s="224"/>
      <c r="X124" s="224"/>
      <c r="Y124" s="224"/>
      <c r="Z124" s="224"/>
      <c r="AA124" s="224"/>
      <c r="AB124" s="224"/>
      <c r="AC124" s="224"/>
      <c r="AD124" s="224"/>
      <c r="AE124" s="224"/>
      <c r="AF124" s="224"/>
      <c r="AG124" s="224"/>
      <c r="AH124" s="224"/>
      <c r="AI124" s="224"/>
      <c r="AJ124" s="224"/>
      <c r="AK124" s="224"/>
      <c r="AL124" s="224"/>
      <c r="AM124" s="224"/>
      <c r="AN124" s="224"/>
      <c r="AO124" s="224"/>
      <c r="AP124" s="224"/>
      <c r="AQ124" s="224"/>
      <c r="AR124" s="224"/>
      <c r="AS124" s="224"/>
    </row>
    <row r="125" spans="1:140" hidden="1" outlineLevel="2">
      <c r="B125" s="9" t="str">
        <f>'Input - Option 2 Detailed Input'!$C$156</f>
        <v>Recuring unitary maintenance visits (e.g. watering, mulching, etc.)</v>
      </c>
      <c r="C125" s="44">
        <f>'Input - Option 2 Detailed Input'!H156</f>
        <v>0</v>
      </c>
      <c r="H125" s="343">
        <f>SUM(J125:EJ125)</f>
        <v>0</v>
      </c>
      <c r="I125" s="211"/>
      <c r="J125" s="224">
        <f>-IF((J$3=$D$124),($C125)*J$4,)</f>
        <v>0</v>
      </c>
      <c r="K125" s="224">
        <f t="shared" ref="K125:AS132" si="35">-IF((K$3=$D$124),($C125)*K$4,)</f>
        <v>0</v>
      </c>
      <c r="L125" s="224">
        <f t="shared" si="35"/>
        <v>0</v>
      </c>
      <c r="M125" s="224">
        <f t="shared" si="35"/>
        <v>0</v>
      </c>
      <c r="N125" s="224">
        <f t="shared" si="35"/>
        <v>0</v>
      </c>
      <c r="O125" s="224">
        <f t="shared" si="35"/>
        <v>0</v>
      </c>
      <c r="P125" s="224">
        <f t="shared" si="35"/>
        <v>0</v>
      </c>
      <c r="Q125" s="224">
        <f t="shared" si="35"/>
        <v>0</v>
      </c>
      <c r="R125" s="224">
        <f t="shared" si="35"/>
        <v>0</v>
      </c>
      <c r="S125" s="224">
        <f t="shared" si="35"/>
        <v>0</v>
      </c>
      <c r="T125" s="224">
        <f t="shared" si="35"/>
        <v>0</v>
      </c>
      <c r="U125" s="224">
        <f t="shared" si="35"/>
        <v>0</v>
      </c>
      <c r="V125" s="224">
        <f t="shared" si="35"/>
        <v>0</v>
      </c>
      <c r="W125" s="224">
        <f t="shared" si="35"/>
        <v>0</v>
      </c>
      <c r="X125" s="224">
        <f t="shared" si="35"/>
        <v>0</v>
      </c>
      <c r="Y125" s="224">
        <f t="shared" si="35"/>
        <v>0</v>
      </c>
      <c r="Z125" s="224">
        <f t="shared" si="35"/>
        <v>0</v>
      </c>
      <c r="AA125" s="224">
        <f t="shared" si="35"/>
        <v>0</v>
      </c>
      <c r="AB125" s="224">
        <f t="shared" si="35"/>
        <v>0</v>
      </c>
      <c r="AC125" s="224">
        <f t="shared" si="35"/>
        <v>0</v>
      </c>
      <c r="AD125" s="224">
        <f t="shared" si="35"/>
        <v>0</v>
      </c>
      <c r="AE125" s="224">
        <f t="shared" si="35"/>
        <v>0</v>
      </c>
      <c r="AF125" s="224">
        <f t="shared" si="35"/>
        <v>0</v>
      </c>
      <c r="AG125" s="224">
        <f t="shared" si="35"/>
        <v>0</v>
      </c>
      <c r="AH125" s="224">
        <f t="shared" si="35"/>
        <v>0</v>
      </c>
      <c r="AI125" s="224">
        <f t="shared" si="35"/>
        <v>0</v>
      </c>
      <c r="AJ125" s="224">
        <f t="shared" si="35"/>
        <v>0</v>
      </c>
      <c r="AK125" s="224">
        <f t="shared" si="35"/>
        <v>0</v>
      </c>
      <c r="AL125" s="224">
        <f t="shared" si="35"/>
        <v>0</v>
      </c>
      <c r="AM125" s="224">
        <f t="shared" si="35"/>
        <v>0</v>
      </c>
      <c r="AN125" s="224">
        <f t="shared" si="35"/>
        <v>0</v>
      </c>
      <c r="AO125" s="224">
        <f t="shared" si="35"/>
        <v>0</v>
      </c>
      <c r="AP125" s="224">
        <f t="shared" si="35"/>
        <v>0</v>
      </c>
      <c r="AQ125" s="224">
        <f t="shared" si="35"/>
        <v>0</v>
      </c>
      <c r="AR125" s="224">
        <f t="shared" si="35"/>
        <v>0</v>
      </c>
      <c r="AS125" s="224">
        <f t="shared" si="35"/>
        <v>0</v>
      </c>
    </row>
    <row r="126" spans="1:140" hidden="1" outlineLevel="2">
      <c r="B126" s="9" t="str">
        <f>'Input - Option 2 Detailed Input'!$C$158</f>
        <v>Establishment checks (including collection, collation, interpretation and sharing of consistent tree establishment data )</v>
      </c>
      <c r="C126" s="44">
        <f>'Input - Option 2 Detailed Input'!H158</f>
        <v>0</v>
      </c>
      <c r="H126" s="343">
        <f t="shared" ref="H126:H134" si="36">SUM(J126:EJ126)</f>
        <v>0</v>
      </c>
      <c r="I126" s="211"/>
      <c r="J126" s="224">
        <f t="shared" ref="J126:Y134" si="37">-IF((J$3=$D$124),($C126)*J$4,)</f>
        <v>0</v>
      </c>
      <c r="K126" s="224">
        <f t="shared" si="37"/>
        <v>0</v>
      </c>
      <c r="L126" s="224">
        <f t="shared" si="37"/>
        <v>0</v>
      </c>
      <c r="M126" s="224">
        <f t="shared" si="37"/>
        <v>0</v>
      </c>
      <c r="N126" s="224">
        <f t="shared" si="37"/>
        <v>0</v>
      </c>
      <c r="O126" s="224">
        <f t="shared" si="37"/>
        <v>0</v>
      </c>
      <c r="P126" s="224">
        <f t="shared" si="37"/>
        <v>0</v>
      </c>
      <c r="Q126" s="224">
        <f t="shared" si="37"/>
        <v>0</v>
      </c>
      <c r="R126" s="224">
        <f t="shared" si="37"/>
        <v>0</v>
      </c>
      <c r="S126" s="224">
        <f t="shared" si="37"/>
        <v>0</v>
      </c>
      <c r="T126" s="224">
        <f t="shared" si="37"/>
        <v>0</v>
      </c>
      <c r="U126" s="224">
        <f t="shared" si="37"/>
        <v>0</v>
      </c>
      <c r="V126" s="224">
        <f t="shared" si="37"/>
        <v>0</v>
      </c>
      <c r="W126" s="224">
        <f t="shared" si="37"/>
        <v>0</v>
      </c>
      <c r="X126" s="224">
        <f t="shared" si="37"/>
        <v>0</v>
      </c>
      <c r="Y126" s="224">
        <f t="shared" si="37"/>
        <v>0</v>
      </c>
      <c r="Z126" s="224">
        <f t="shared" si="35"/>
        <v>0</v>
      </c>
      <c r="AA126" s="224">
        <f t="shared" si="35"/>
        <v>0</v>
      </c>
      <c r="AB126" s="224">
        <f t="shared" si="35"/>
        <v>0</v>
      </c>
      <c r="AC126" s="224">
        <f t="shared" si="35"/>
        <v>0</v>
      </c>
      <c r="AD126" s="224">
        <f t="shared" si="35"/>
        <v>0</v>
      </c>
      <c r="AE126" s="224">
        <f t="shared" si="35"/>
        <v>0</v>
      </c>
      <c r="AF126" s="224">
        <f t="shared" si="35"/>
        <v>0</v>
      </c>
      <c r="AG126" s="224">
        <f t="shared" si="35"/>
        <v>0</v>
      </c>
      <c r="AH126" s="224">
        <f t="shared" si="35"/>
        <v>0</v>
      </c>
      <c r="AI126" s="224">
        <f t="shared" si="35"/>
        <v>0</v>
      </c>
      <c r="AJ126" s="224">
        <f t="shared" si="35"/>
        <v>0</v>
      </c>
      <c r="AK126" s="224">
        <f t="shared" si="35"/>
        <v>0</v>
      </c>
      <c r="AL126" s="224">
        <f t="shared" si="35"/>
        <v>0</v>
      </c>
      <c r="AM126" s="224">
        <f t="shared" si="35"/>
        <v>0</v>
      </c>
      <c r="AN126" s="224">
        <f t="shared" si="35"/>
        <v>0</v>
      </c>
      <c r="AO126" s="224">
        <f t="shared" si="35"/>
        <v>0</v>
      </c>
      <c r="AP126" s="224">
        <f t="shared" si="35"/>
        <v>0</v>
      </c>
      <c r="AQ126" s="224">
        <f t="shared" si="35"/>
        <v>0</v>
      </c>
      <c r="AR126" s="224">
        <f t="shared" si="35"/>
        <v>0</v>
      </c>
      <c r="AS126" s="224">
        <f t="shared" si="35"/>
        <v>0</v>
      </c>
    </row>
    <row r="127" spans="1:140" hidden="1" outlineLevel="2">
      <c r="B127" s="9" t="str">
        <f>'Input - Option 2 Detailed Input'!$C$159</f>
        <v>Maintenance, removal and/or disposal of (where relevant) stakes, ties, and guard, grills, concrete rings, base surrounds, tree protection, etc.</v>
      </c>
      <c r="C127" s="44">
        <f>'Input - Option 2 Detailed Input'!H159</f>
        <v>0</v>
      </c>
      <c r="H127" s="343">
        <f t="shared" si="36"/>
        <v>0</v>
      </c>
      <c r="I127" s="211"/>
      <c r="J127" s="224">
        <f t="shared" si="37"/>
        <v>0</v>
      </c>
      <c r="K127" s="224">
        <f t="shared" si="35"/>
        <v>0</v>
      </c>
      <c r="L127" s="224">
        <f t="shared" si="35"/>
        <v>0</v>
      </c>
      <c r="M127" s="224">
        <f t="shared" si="35"/>
        <v>0</v>
      </c>
      <c r="N127" s="224">
        <f t="shared" si="35"/>
        <v>0</v>
      </c>
      <c r="O127" s="224">
        <f t="shared" si="35"/>
        <v>0</v>
      </c>
      <c r="P127" s="224">
        <f t="shared" si="35"/>
        <v>0</v>
      </c>
      <c r="Q127" s="224">
        <f t="shared" si="35"/>
        <v>0</v>
      </c>
      <c r="R127" s="224">
        <f t="shared" si="35"/>
        <v>0</v>
      </c>
      <c r="S127" s="224">
        <f t="shared" si="35"/>
        <v>0</v>
      </c>
      <c r="T127" s="224">
        <f t="shared" si="35"/>
        <v>0</v>
      </c>
      <c r="U127" s="224">
        <f t="shared" si="35"/>
        <v>0</v>
      </c>
      <c r="V127" s="224">
        <f t="shared" si="35"/>
        <v>0</v>
      </c>
      <c r="W127" s="224">
        <f t="shared" si="35"/>
        <v>0</v>
      </c>
      <c r="X127" s="224">
        <f t="shared" si="35"/>
        <v>0</v>
      </c>
      <c r="Y127" s="224">
        <f t="shared" si="35"/>
        <v>0</v>
      </c>
      <c r="Z127" s="224">
        <f t="shared" si="35"/>
        <v>0</v>
      </c>
      <c r="AA127" s="224">
        <f t="shared" si="35"/>
        <v>0</v>
      </c>
      <c r="AB127" s="224">
        <f t="shared" si="35"/>
        <v>0</v>
      </c>
      <c r="AC127" s="224">
        <f t="shared" si="35"/>
        <v>0</v>
      </c>
      <c r="AD127" s="224">
        <f t="shared" si="35"/>
        <v>0</v>
      </c>
      <c r="AE127" s="224">
        <f t="shared" si="35"/>
        <v>0</v>
      </c>
      <c r="AF127" s="224">
        <f t="shared" si="35"/>
        <v>0</v>
      </c>
      <c r="AG127" s="224">
        <f t="shared" si="35"/>
        <v>0</v>
      </c>
      <c r="AH127" s="224">
        <f t="shared" si="35"/>
        <v>0</v>
      </c>
      <c r="AI127" s="224">
        <f t="shared" si="35"/>
        <v>0</v>
      </c>
      <c r="AJ127" s="224">
        <f t="shared" si="35"/>
        <v>0</v>
      </c>
      <c r="AK127" s="224">
        <f t="shared" si="35"/>
        <v>0</v>
      </c>
      <c r="AL127" s="224">
        <f t="shared" si="35"/>
        <v>0</v>
      </c>
      <c r="AM127" s="224">
        <f t="shared" si="35"/>
        <v>0</v>
      </c>
      <c r="AN127" s="224">
        <f t="shared" si="35"/>
        <v>0</v>
      </c>
      <c r="AO127" s="224">
        <f t="shared" si="35"/>
        <v>0</v>
      </c>
      <c r="AP127" s="224">
        <f t="shared" si="35"/>
        <v>0</v>
      </c>
      <c r="AQ127" s="224">
        <f t="shared" si="35"/>
        <v>0</v>
      </c>
      <c r="AR127" s="224">
        <f t="shared" si="35"/>
        <v>0</v>
      </c>
      <c r="AS127" s="224">
        <f t="shared" si="35"/>
        <v>0</v>
      </c>
    </row>
    <row r="128" spans="1:140" hidden="1" outlineLevel="2">
      <c r="B128" s="9" t="str">
        <f>'Input - Option 2 Detailed Input'!$C$160</f>
        <v xml:space="preserve">Safety inspection cost </v>
      </c>
      <c r="C128" s="44">
        <f>'Input - Option 2 Detailed Input'!H160</f>
        <v>0</v>
      </c>
      <c r="H128" s="343">
        <f t="shared" si="36"/>
        <v>0</v>
      </c>
      <c r="I128" s="211"/>
      <c r="J128" s="224">
        <f t="shared" si="37"/>
        <v>0</v>
      </c>
      <c r="K128" s="224">
        <f t="shared" si="35"/>
        <v>0</v>
      </c>
      <c r="L128" s="224">
        <f t="shared" si="35"/>
        <v>0</v>
      </c>
      <c r="M128" s="224">
        <f t="shared" si="35"/>
        <v>0</v>
      </c>
      <c r="N128" s="224">
        <f t="shared" si="35"/>
        <v>0</v>
      </c>
      <c r="O128" s="224">
        <f t="shared" si="35"/>
        <v>0</v>
      </c>
      <c r="P128" s="224">
        <f t="shared" si="35"/>
        <v>0</v>
      </c>
      <c r="Q128" s="224">
        <f t="shared" si="35"/>
        <v>0</v>
      </c>
      <c r="R128" s="224">
        <f t="shared" si="35"/>
        <v>0</v>
      </c>
      <c r="S128" s="224">
        <f t="shared" si="35"/>
        <v>0</v>
      </c>
      <c r="T128" s="224">
        <f t="shared" si="35"/>
        <v>0</v>
      </c>
      <c r="U128" s="224">
        <f t="shared" si="35"/>
        <v>0</v>
      </c>
      <c r="V128" s="224">
        <f t="shared" si="35"/>
        <v>0</v>
      </c>
      <c r="W128" s="224">
        <f t="shared" si="35"/>
        <v>0</v>
      </c>
      <c r="X128" s="224">
        <f t="shared" si="35"/>
        <v>0</v>
      </c>
      <c r="Y128" s="224">
        <f t="shared" si="35"/>
        <v>0</v>
      </c>
      <c r="Z128" s="224">
        <f t="shared" si="35"/>
        <v>0</v>
      </c>
      <c r="AA128" s="224">
        <f t="shared" si="35"/>
        <v>0</v>
      </c>
      <c r="AB128" s="224">
        <f t="shared" si="35"/>
        <v>0</v>
      </c>
      <c r="AC128" s="224">
        <f t="shared" si="35"/>
        <v>0</v>
      </c>
      <c r="AD128" s="224">
        <f t="shared" si="35"/>
        <v>0</v>
      </c>
      <c r="AE128" s="224">
        <f t="shared" si="35"/>
        <v>0</v>
      </c>
      <c r="AF128" s="224">
        <f t="shared" si="35"/>
        <v>0</v>
      </c>
      <c r="AG128" s="224">
        <f t="shared" si="35"/>
        <v>0</v>
      </c>
      <c r="AH128" s="224">
        <f t="shared" si="35"/>
        <v>0</v>
      </c>
      <c r="AI128" s="224">
        <f t="shared" si="35"/>
        <v>0</v>
      </c>
      <c r="AJ128" s="224">
        <f t="shared" si="35"/>
        <v>0</v>
      </c>
      <c r="AK128" s="224">
        <f t="shared" si="35"/>
        <v>0</v>
      </c>
      <c r="AL128" s="224">
        <f t="shared" si="35"/>
        <v>0</v>
      </c>
      <c r="AM128" s="224">
        <f t="shared" si="35"/>
        <v>0</v>
      </c>
      <c r="AN128" s="224">
        <f t="shared" si="35"/>
        <v>0</v>
      </c>
      <c r="AO128" s="224">
        <f t="shared" si="35"/>
        <v>0</v>
      </c>
      <c r="AP128" s="224">
        <f t="shared" si="35"/>
        <v>0</v>
      </c>
      <c r="AQ128" s="224">
        <f t="shared" si="35"/>
        <v>0</v>
      </c>
      <c r="AR128" s="224">
        <f t="shared" si="35"/>
        <v>0</v>
      </c>
      <c r="AS128" s="224">
        <f t="shared" si="35"/>
        <v>0</v>
      </c>
    </row>
    <row r="129" spans="1:45" hidden="1" outlineLevel="2">
      <c r="B129" s="9" t="str">
        <f>'Input - Option 2 Detailed Input'!$C$161</f>
        <v xml:space="preserve">Crown lifting </v>
      </c>
      <c r="C129" s="44">
        <f>'Input - Option 2 Detailed Input'!H161</f>
        <v>0</v>
      </c>
      <c r="H129" s="343">
        <f t="shared" si="36"/>
        <v>0</v>
      </c>
      <c r="I129" s="211"/>
      <c r="J129" s="224">
        <f t="shared" si="37"/>
        <v>0</v>
      </c>
      <c r="K129" s="224">
        <f t="shared" si="35"/>
        <v>0</v>
      </c>
      <c r="L129" s="224">
        <f t="shared" si="35"/>
        <v>0</v>
      </c>
      <c r="M129" s="224">
        <f t="shared" si="35"/>
        <v>0</v>
      </c>
      <c r="N129" s="224">
        <f t="shared" si="35"/>
        <v>0</v>
      </c>
      <c r="O129" s="224">
        <f t="shared" si="35"/>
        <v>0</v>
      </c>
      <c r="P129" s="224">
        <f>-IF((P$3=$D$124),($C129)*P$4,)</f>
        <v>0</v>
      </c>
      <c r="Q129" s="224">
        <f t="shared" si="35"/>
        <v>0</v>
      </c>
      <c r="R129" s="224">
        <f t="shared" si="35"/>
        <v>0</v>
      </c>
      <c r="S129" s="224">
        <f t="shared" si="35"/>
        <v>0</v>
      </c>
      <c r="T129" s="224">
        <f t="shared" si="35"/>
        <v>0</v>
      </c>
      <c r="U129" s="224">
        <f t="shared" si="35"/>
        <v>0</v>
      </c>
      <c r="V129" s="224">
        <f t="shared" si="35"/>
        <v>0</v>
      </c>
      <c r="W129" s="224">
        <f t="shared" si="35"/>
        <v>0</v>
      </c>
      <c r="X129" s="224">
        <f t="shared" si="35"/>
        <v>0</v>
      </c>
      <c r="Y129" s="224">
        <f t="shared" si="35"/>
        <v>0</v>
      </c>
      <c r="Z129" s="224">
        <f t="shared" si="35"/>
        <v>0</v>
      </c>
      <c r="AA129" s="224">
        <f t="shared" si="35"/>
        <v>0</v>
      </c>
      <c r="AB129" s="224">
        <f t="shared" si="35"/>
        <v>0</v>
      </c>
      <c r="AC129" s="224">
        <f t="shared" si="35"/>
        <v>0</v>
      </c>
      <c r="AD129" s="224">
        <f t="shared" si="35"/>
        <v>0</v>
      </c>
      <c r="AE129" s="224">
        <f t="shared" si="35"/>
        <v>0</v>
      </c>
      <c r="AF129" s="224">
        <f t="shared" si="35"/>
        <v>0</v>
      </c>
      <c r="AG129" s="224">
        <f t="shared" si="35"/>
        <v>0</v>
      </c>
      <c r="AH129" s="224">
        <f t="shared" si="35"/>
        <v>0</v>
      </c>
      <c r="AI129" s="224">
        <f t="shared" si="35"/>
        <v>0</v>
      </c>
      <c r="AJ129" s="224">
        <f t="shared" si="35"/>
        <v>0</v>
      </c>
      <c r="AK129" s="224">
        <f t="shared" si="35"/>
        <v>0</v>
      </c>
      <c r="AL129" s="224">
        <f t="shared" si="35"/>
        <v>0</v>
      </c>
      <c r="AM129" s="224">
        <f t="shared" si="35"/>
        <v>0</v>
      </c>
      <c r="AN129" s="224">
        <f t="shared" si="35"/>
        <v>0</v>
      </c>
      <c r="AO129" s="224">
        <f t="shared" si="35"/>
        <v>0</v>
      </c>
      <c r="AP129" s="224">
        <f t="shared" si="35"/>
        <v>0</v>
      </c>
      <c r="AQ129" s="224">
        <f t="shared" si="35"/>
        <v>0</v>
      </c>
      <c r="AR129" s="224">
        <f t="shared" si="35"/>
        <v>0</v>
      </c>
      <c r="AS129" s="224">
        <f t="shared" si="35"/>
        <v>0</v>
      </c>
    </row>
    <row r="130" spans="1:45" hidden="1" outlineLevel="2">
      <c r="B130" s="9" t="str">
        <f>'Input - Option 2 Detailed Input'!$C$162</f>
        <v>Deadwood cleanout</v>
      </c>
      <c r="C130" s="44">
        <f>'Input - Option 2 Detailed Input'!H162</f>
        <v>0</v>
      </c>
      <c r="H130" s="343">
        <f t="shared" si="36"/>
        <v>0</v>
      </c>
      <c r="I130" s="211"/>
      <c r="J130" s="224">
        <f t="shared" si="37"/>
        <v>0</v>
      </c>
      <c r="K130" s="224">
        <f t="shared" si="35"/>
        <v>0</v>
      </c>
      <c r="L130" s="224">
        <f t="shared" si="35"/>
        <v>0</v>
      </c>
      <c r="M130" s="224">
        <f t="shared" si="35"/>
        <v>0</v>
      </c>
      <c r="N130" s="224">
        <f t="shared" si="35"/>
        <v>0</v>
      </c>
      <c r="O130" s="224">
        <f t="shared" si="35"/>
        <v>0</v>
      </c>
      <c r="P130" s="224">
        <f t="shared" si="35"/>
        <v>0</v>
      </c>
      <c r="Q130" s="224">
        <f t="shared" si="35"/>
        <v>0</v>
      </c>
      <c r="R130" s="224">
        <f t="shared" si="35"/>
        <v>0</v>
      </c>
      <c r="S130" s="224">
        <f t="shared" si="35"/>
        <v>0</v>
      </c>
      <c r="T130" s="224">
        <f t="shared" si="35"/>
        <v>0</v>
      </c>
      <c r="U130" s="224">
        <f t="shared" si="35"/>
        <v>0</v>
      </c>
      <c r="V130" s="224">
        <f t="shared" si="35"/>
        <v>0</v>
      </c>
      <c r="W130" s="224">
        <f t="shared" si="35"/>
        <v>0</v>
      </c>
      <c r="X130" s="224">
        <f t="shared" si="35"/>
        <v>0</v>
      </c>
      <c r="Y130" s="224">
        <f t="shared" si="35"/>
        <v>0</v>
      </c>
      <c r="Z130" s="224">
        <f t="shared" si="35"/>
        <v>0</v>
      </c>
      <c r="AA130" s="224">
        <f t="shared" si="35"/>
        <v>0</v>
      </c>
      <c r="AB130" s="224">
        <f t="shared" si="35"/>
        <v>0</v>
      </c>
      <c r="AC130" s="224">
        <f t="shared" si="35"/>
        <v>0</v>
      </c>
      <c r="AD130" s="224">
        <f t="shared" si="35"/>
        <v>0</v>
      </c>
      <c r="AE130" s="224">
        <f t="shared" si="35"/>
        <v>0</v>
      </c>
      <c r="AF130" s="224">
        <f t="shared" si="35"/>
        <v>0</v>
      </c>
      <c r="AG130" s="224">
        <f t="shared" si="35"/>
        <v>0</v>
      </c>
      <c r="AH130" s="224">
        <f t="shared" si="35"/>
        <v>0</v>
      </c>
      <c r="AI130" s="224">
        <f t="shared" si="35"/>
        <v>0</v>
      </c>
      <c r="AJ130" s="224">
        <f t="shared" si="35"/>
        <v>0</v>
      </c>
      <c r="AK130" s="224">
        <f t="shared" si="35"/>
        <v>0</v>
      </c>
      <c r="AL130" s="224">
        <f t="shared" si="35"/>
        <v>0</v>
      </c>
      <c r="AM130" s="224">
        <f t="shared" si="35"/>
        <v>0</v>
      </c>
      <c r="AN130" s="224">
        <f t="shared" si="35"/>
        <v>0</v>
      </c>
      <c r="AO130" s="224">
        <f t="shared" si="35"/>
        <v>0</v>
      </c>
      <c r="AP130" s="224">
        <f t="shared" si="35"/>
        <v>0</v>
      </c>
      <c r="AQ130" s="224">
        <f t="shared" si="35"/>
        <v>0</v>
      </c>
      <c r="AR130" s="224">
        <f t="shared" si="35"/>
        <v>0</v>
      </c>
      <c r="AS130" s="224">
        <f t="shared" si="35"/>
        <v>0</v>
      </c>
    </row>
    <row r="131" spans="1:45" hidden="1" outlineLevel="2">
      <c r="B131" s="9" t="str">
        <f>'Input - Option 2 Detailed Input'!$C$163</f>
        <v>Additional costs related for specialist pruning regimes</v>
      </c>
      <c r="C131" s="44">
        <f>'Input - Option 2 Detailed Input'!H163</f>
        <v>0</v>
      </c>
      <c r="H131" s="343">
        <f t="shared" si="36"/>
        <v>0</v>
      </c>
      <c r="I131" s="211"/>
      <c r="J131" s="224">
        <f t="shared" si="37"/>
        <v>0</v>
      </c>
      <c r="K131" s="224">
        <f t="shared" si="35"/>
        <v>0</v>
      </c>
      <c r="L131" s="224">
        <f t="shared" si="35"/>
        <v>0</v>
      </c>
      <c r="M131" s="224">
        <f t="shared" si="35"/>
        <v>0</v>
      </c>
      <c r="N131" s="224">
        <f t="shared" si="35"/>
        <v>0</v>
      </c>
      <c r="O131" s="224">
        <f t="shared" si="35"/>
        <v>0</v>
      </c>
      <c r="P131" s="224">
        <f t="shared" si="35"/>
        <v>0</v>
      </c>
      <c r="Q131" s="224">
        <f t="shared" si="35"/>
        <v>0</v>
      </c>
      <c r="R131" s="224">
        <f t="shared" si="35"/>
        <v>0</v>
      </c>
      <c r="S131" s="224">
        <f t="shared" si="35"/>
        <v>0</v>
      </c>
      <c r="T131" s="224">
        <f t="shared" si="35"/>
        <v>0</v>
      </c>
      <c r="U131" s="224">
        <f t="shared" si="35"/>
        <v>0</v>
      </c>
      <c r="V131" s="224">
        <f t="shared" si="35"/>
        <v>0</v>
      </c>
      <c r="W131" s="224">
        <f t="shared" si="35"/>
        <v>0</v>
      </c>
      <c r="X131" s="224">
        <f t="shared" si="35"/>
        <v>0</v>
      </c>
      <c r="Y131" s="224">
        <f t="shared" si="35"/>
        <v>0</v>
      </c>
      <c r="Z131" s="224">
        <f t="shared" si="35"/>
        <v>0</v>
      </c>
      <c r="AA131" s="224">
        <f t="shared" si="35"/>
        <v>0</v>
      </c>
      <c r="AB131" s="224">
        <f t="shared" si="35"/>
        <v>0</v>
      </c>
      <c r="AC131" s="224">
        <f t="shared" si="35"/>
        <v>0</v>
      </c>
      <c r="AD131" s="224">
        <f t="shared" si="35"/>
        <v>0</v>
      </c>
      <c r="AE131" s="224">
        <f t="shared" si="35"/>
        <v>0</v>
      </c>
      <c r="AF131" s="224">
        <f t="shared" si="35"/>
        <v>0</v>
      </c>
      <c r="AG131" s="224">
        <f t="shared" si="35"/>
        <v>0</v>
      </c>
      <c r="AH131" s="224">
        <f t="shared" si="35"/>
        <v>0</v>
      </c>
      <c r="AI131" s="224">
        <f t="shared" si="35"/>
        <v>0</v>
      </c>
      <c r="AJ131" s="224">
        <f t="shared" si="35"/>
        <v>0</v>
      </c>
      <c r="AK131" s="224">
        <f t="shared" si="35"/>
        <v>0</v>
      </c>
      <c r="AL131" s="224">
        <f t="shared" si="35"/>
        <v>0</v>
      </c>
      <c r="AM131" s="224">
        <f t="shared" si="35"/>
        <v>0</v>
      </c>
      <c r="AN131" s="224">
        <f t="shared" si="35"/>
        <v>0</v>
      </c>
      <c r="AO131" s="224">
        <f t="shared" si="35"/>
        <v>0</v>
      </c>
      <c r="AP131" s="224">
        <f t="shared" si="35"/>
        <v>0</v>
      </c>
      <c r="AQ131" s="224">
        <f t="shared" si="35"/>
        <v>0</v>
      </c>
      <c r="AR131" s="224">
        <f t="shared" si="35"/>
        <v>0</v>
      </c>
      <c r="AS131" s="224">
        <f t="shared" si="35"/>
        <v>0</v>
      </c>
    </row>
    <row r="132" spans="1:45" hidden="1" outlineLevel="2">
      <c r="B132" s="9" t="str">
        <f>'Input - Option 2 Detailed Input'!$C$164</f>
        <v>Weeding</v>
      </c>
      <c r="C132" s="44">
        <f>'Input - Option 2 Detailed Input'!H164</f>
        <v>0</v>
      </c>
      <c r="H132" s="343">
        <f t="shared" si="36"/>
        <v>0</v>
      </c>
      <c r="I132" s="211"/>
      <c r="J132" s="224">
        <f t="shared" si="37"/>
        <v>0</v>
      </c>
      <c r="K132" s="224">
        <f t="shared" si="35"/>
        <v>0</v>
      </c>
      <c r="L132" s="224">
        <f t="shared" si="35"/>
        <v>0</v>
      </c>
      <c r="M132" s="224">
        <f t="shared" si="35"/>
        <v>0</v>
      </c>
      <c r="N132" s="224">
        <f t="shared" si="35"/>
        <v>0</v>
      </c>
      <c r="O132" s="224">
        <f t="shared" si="35"/>
        <v>0</v>
      </c>
      <c r="P132" s="224">
        <f t="shared" si="35"/>
        <v>0</v>
      </c>
      <c r="Q132" s="224">
        <f t="shared" si="35"/>
        <v>0</v>
      </c>
      <c r="R132" s="224">
        <f t="shared" si="35"/>
        <v>0</v>
      </c>
      <c r="S132" s="224">
        <f t="shared" si="35"/>
        <v>0</v>
      </c>
      <c r="T132" s="224">
        <f t="shared" si="35"/>
        <v>0</v>
      </c>
      <c r="U132" s="224">
        <f t="shared" si="35"/>
        <v>0</v>
      </c>
      <c r="V132" s="224">
        <f t="shared" si="35"/>
        <v>0</v>
      </c>
      <c r="W132" s="224">
        <f t="shared" si="35"/>
        <v>0</v>
      </c>
      <c r="X132" s="224">
        <f t="shared" si="35"/>
        <v>0</v>
      </c>
      <c r="Y132" s="224">
        <f t="shared" si="35"/>
        <v>0</v>
      </c>
      <c r="Z132" s="224">
        <f t="shared" si="35"/>
        <v>0</v>
      </c>
      <c r="AA132" s="224">
        <f t="shared" si="35"/>
        <v>0</v>
      </c>
      <c r="AB132" s="224">
        <f t="shared" si="35"/>
        <v>0</v>
      </c>
      <c r="AC132" s="224">
        <f t="shared" si="35"/>
        <v>0</v>
      </c>
      <c r="AD132" s="224">
        <f t="shared" si="35"/>
        <v>0</v>
      </c>
      <c r="AE132" s="224">
        <f t="shared" si="35"/>
        <v>0</v>
      </c>
      <c r="AF132" s="224">
        <f t="shared" si="35"/>
        <v>0</v>
      </c>
      <c r="AG132" s="224">
        <f t="shared" si="35"/>
        <v>0</v>
      </c>
      <c r="AH132" s="224">
        <f t="shared" si="35"/>
        <v>0</v>
      </c>
      <c r="AI132" s="224">
        <f t="shared" si="35"/>
        <v>0</v>
      </c>
      <c r="AJ132" s="224">
        <f t="shared" ref="K132:AS134" si="38">-IF((AJ$3=$D$124),($C132)*AJ$4,)</f>
        <v>0</v>
      </c>
      <c r="AK132" s="224">
        <f t="shared" si="38"/>
        <v>0</v>
      </c>
      <c r="AL132" s="224">
        <f t="shared" si="38"/>
        <v>0</v>
      </c>
      <c r="AM132" s="224">
        <f t="shared" si="38"/>
        <v>0</v>
      </c>
      <c r="AN132" s="224">
        <f t="shared" si="38"/>
        <v>0</v>
      </c>
      <c r="AO132" s="224">
        <f t="shared" si="38"/>
        <v>0</v>
      </c>
      <c r="AP132" s="224">
        <f t="shared" si="38"/>
        <v>0</v>
      </c>
      <c r="AQ132" s="224">
        <f t="shared" si="38"/>
        <v>0</v>
      </c>
      <c r="AR132" s="224">
        <f t="shared" si="38"/>
        <v>0</v>
      </c>
      <c r="AS132" s="224">
        <f t="shared" si="38"/>
        <v>0</v>
      </c>
    </row>
    <row r="133" spans="1:45" hidden="1" outlineLevel="2">
      <c r="B133" s="9" t="str">
        <f>'Input - Option 2 Detailed Input'!$C$165</f>
        <v>Epicormic growth removal </v>
      </c>
      <c r="C133" s="44">
        <f>'Input - Option 2 Detailed Input'!H165</f>
        <v>0</v>
      </c>
      <c r="H133" s="343">
        <f t="shared" si="36"/>
        <v>0</v>
      </c>
      <c r="I133" s="211"/>
      <c r="J133" s="224">
        <f t="shared" si="37"/>
        <v>0</v>
      </c>
      <c r="K133" s="224">
        <f t="shared" si="38"/>
        <v>0</v>
      </c>
      <c r="L133" s="224">
        <f t="shared" si="38"/>
        <v>0</v>
      </c>
      <c r="M133" s="224">
        <f t="shared" si="38"/>
        <v>0</v>
      </c>
      <c r="N133" s="224">
        <f t="shared" si="38"/>
        <v>0</v>
      </c>
      <c r="O133" s="224">
        <f t="shared" si="38"/>
        <v>0</v>
      </c>
      <c r="P133" s="224">
        <f t="shared" si="38"/>
        <v>0</v>
      </c>
      <c r="Q133" s="224">
        <f t="shared" si="38"/>
        <v>0</v>
      </c>
      <c r="R133" s="224">
        <f t="shared" si="38"/>
        <v>0</v>
      </c>
      <c r="S133" s="224">
        <f t="shared" si="38"/>
        <v>0</v>
      </c>
      <c r="T133" s="224">
        <f t="shared" si="38"/>
        <v>0</v>
      </c>
      <c r="U133" s="224">
        <f t="shared" si="38"/>
        <v>0</v>
      </c>
      <c r="V133" s="224">
        <f t="shared" si="38"/>
        <v>0</v>
      </c>
      <c r="W133" s="224">
        <f t="shared" si="38"/>
        <v>0</v>
      </c>
      <c r="X133" s="224">
        <f t="shared" si="38"/>
        <v>0</v>
      </c>
      <c r="Y133" s="224">
        <f t="shared" si="38"/>
        <v>0</v>
      </c>
      <c r="Z133" s="224">
        <f t="shared" si="38"/>
        <v>0</v>
      </c>
      <c r="AA133" s="224">
        <f t="shared" si="38"/>
        <v>0</v>
      </c>
      <c r="AB133" s="224">
        <f t="shared" si="38"/>
        <v>0</v>
      </c>
      <c r="AC133" s="224">
        <f t="shared" si="38"/>
        <v>0</v>
      </c>
      <c r="AD133" s="224">
        <f t="shared" si="38"/>
        <v>0</v>
      </c>
      <c r="AE133" s="224">
        <f t="shared" si="38"/>
        <v>0</v>
      </c>
      <c r="AF133" s="224">
        <f t="shared" si="38"/>
        <v>0</v>
      </c>
      <c r="AG133" s="224">
        <f t="shared" si="38"/>
        <v>0</v>
      </c>
      <c r="AH133" s="224">
        <f t="shared" si="38"/>
        <v>0</v>
      </c>
      <c r="AI133" s="224">
        <f t="shared" si="38"/>
        <v>0</v>
      </c>
      <c r="AJ133" s="224">
        <f t="shared" si="38"/>
        <v>0</v>
      </c>
      <c r="AK133" s="224">
        <f t="shared" si="38"/>
        <v>0</v>
      </c>
      <c r="AL133" s="224">
        <f t="shared" si="38"/>
        <v>0</v>
      </c>
      <c r="AM133" s="224">
        <f t="shared" si="38"/>
        <v>0</v>
      </c>
      <c r="AN133" s="224">
        <f t="shared" si="38"/>
        <v>0</v>
      </c>
      <c r="AO133" s="224">
        <f t="shared" si="38"/>
        <v>0</v>
      </c>
      <c r="AP133" s="224">
        <f t="shared" si="38"/>
        <v>0</v>
      </c>
      <c r="AQ133" s="224">
        <f t="shared" si="38"/>
        <v>0</v>
      </c>
      <c r="AR133" s="224">
        <f t="shared" si="38"/>
        <v>0</v>
      </c>
      <c r="AS133" s="224">
        <f t="shared" si="38"/>
        <v>0</v>
      </c>
    </row>
    <row r="134" spans="1:45" hidden="1" outlineLevel="2">
      <c r="B134" s="9" t="str">
        <f>'Input - Option 2 Detailed Input'!$C$166</f>
        <v xml:space="preserve">Costs associated with standpipes </v>
      </c>
      <c r="C134" s="44">
        <f>'Input - Option 2 Detailed Input'!H166</f>
        <v>0</v>
      </c>
      <c r="H134" s="343">
        <f t="shared" si="36"/>
        <v>0</v>
      </c>
      <c r="I134" s="211"/>
      <c r="J134" s="224">
        <f t="shared" si="37"/>
        <v>0</v>
      </c>
      <c r="K134" s="224">
        <f t="shared" si="38"/>
        <v>0</v>
      </c>
      <c r="L134" s="224">
        <f t="shared" si="38"/>
        <v>0</v>
      </c>
      <c r="M134" s="224">
        <f t="shared" si="38"/>
        <v>0</v>
      </c>
      <c r="N134" s="224">
        <f t="shared" si="38"/>
        <v>0</v>
      </c>
      <c r="O134" s="224">
        <f t="shared" si="38"/>
        <v>0</v>
      </c>
      <c r="P134" s="224">
        <f t="shared" si="38"/>
        <v>0</v>
      </c>
      <c r="Q134" s="224">
        <f t="shared" si="38"/>
        <v>0</v>
      </c>
      <c r="R134" s="224">
        <f t="shared" si="38"/>
        <v>0</v>
      </c>
      <c r="S134" s="224">
        <f t="shared" si="38"/>
        <v>0</v>
      </c>
      <c r="T134" s="224">
        <f t="shared" si="38"/>
        <v>0</v>
      </c>
      <c r="U134" s="224">
        <f t="shared" si="38"/>
        <v>0</v>
      </c>
      <c r="V134" s="224">
        <f t="shared" si="38"/>
        <v>0</v>
      </c>
      <c r="W134" s="224">
        <f t="shared" si="38"/>
        <v>0</v>
      </c>
      <c r="X134" s="224">
        <f t="shared" si="38"/>
        <v>0</v>
      </c>
      <c r="Y134" s="224">
        <f t="shared" si="38"/>
        <v>0</v>
      </c>
      <c r="Z134" s="224">
        <f t="shared" si="38"/>
        <v>0</v>
      </c>
      <c r="AA134" s="224">
        <f t="shared" si="38"/>
        <v>0</v>
      </c>
      <c r="AB134" s="224">
        <f t="shared" si="38"/>
        <v>0</v>
      </c>
      <c r="AC134" s="224">
        <f t="shared" si="38"/>
        <v>0</v>
      </c>
      <c r="AD134" s="224">
        <f t="shared" si="38"/>
        <v>0</v>
      </c>
      <c r="AE134" s="224">
        <f t="shared" si="38"/>
        <v>0</v>
      </c>
      <c r="AF134" s="224">
        <f t="shared" si="38"/>
        <v>0</v>
      </c>
      <c r="AG134" s="224">
        <f t="shared" si="38"/>
        <v>0</v>
      </c>
      <c r="AH134" s="224">
        <f t="shared" si="38"/>
        <v>0</v>
      </c>
      <c r="AI134" s="224">
        <f t="shared" si="38"/>
        <v>0</v>
      </c>
      <c r="AJ134" s="224">
        <f t="shared" si="38"/>
        <v>0</v>
      </c>
      <c r="AK134" s="224">
        <f t="shared" si="38"/>
        <v>0</v>
      </c>
      <c r="AL134" s="224">
        <f t="shared" si="38"/>
        <v>0</v>
      </c>
      <c r="AM134" s="224">
        <f t="shared" si="38"/>
        <v>0</v>
      </c>
      <c r="AN134" s="224">
        <f t="shared" si="38"/>
        <v>0</v>
      </c>
      <c r="AO134" s="224">
        <f t="shared" si="38"/>
        <v>0</v>
      </c>
      <c r="AP134" s="224">
        <f t="shared" si="38"/>
        <v>0</v>
      </c>
      <c r="AQ134" s="224">
        <f t="shared" si="38"/>
        <v>0</v>
      </c>
      <c r="AR134" s="224">
        <f t="shared" si="38"/>
        <v>0</v>
      </c>
      <c r="AS134" s="224">
        <f t="shared" si="38"/>
        <v>0</v>
      </c>
    </row>
    <row r="135" spans="1:45" hidden="1" outlineLevel="2">
      <c r="H135" s="343"/>
      <c r="I135" s="213"/>
      <c r="J135" s="224"/>
      <c r="K135" s="224"/>
      <c r="L135" s="224"/>
      <c r="M135" s="224"/>
      <c r="N135" s="224"/>
      <c r="O135" s="224"/>
      <c r="P135" s="224"/>
      <c r="Q135" s="224"/>
      <c r="R135" s="224"/>
      <c r="S135" s="224"/>
      <c r="T135" s="224"/>
      <c r="U135" s="224"/>
      <c r="V135" s="224"/>
      <c r="W135" s="224"/>
      <c r="X135" s="224"/>
      <c r="Y135" s="224"/>
      <c r="Z135" s="224"/>
      <c r="AA135" s="224"/>
      <c r="AB135" s="224"/>
      <c r="AC135" s="224"/>
      <c r="AD135" s="224"/>
      <c r="AE135" s="224"/>
      <c r="AF135" s="224"/>
      <c r="AG135" s="224"/>
      <c r="AH135" s="224"/>
      <c r="AI135" s="224"/>
      <c r="AJ135" s="224"/>
      <c r="AK135" s="224"/>
      <c r="AL135" s="224"/>
      <c r="AM135" s="224"/>
      <c r="AN135" s="224"/>
      <c r="AO135" s="224"/>
      <c r="AP135" s="224"/>
      <c r="AQ135" s="224"/>
      <c r="AR135" s="224"/>
      <c r="AS135" s="224"/>
    </row>
    <row r="136" spans="1:45" hidden="1" outlineLevel="2">
      <c r="B136" s="9" t="str">
        <f>'Input - Option 2 Detailed Input'!C168</f>
        <v>Year 1 - Additional Costs</v>
      </c>
      <c r="C136" s="25" t="str">
        <f>'Input - Option 2 Detailed Input'!G168</f>
        <v>Total Costs (per visit)</v>
      </c>
      <c r="H136" s="343"/>
      <c r="I136" s="213"/>
      <c r="J136" s="224"/>
      <c r="K136" s="224"/>
      <c r="L136" s="224"/>
      <c r="M136" s="224"/>
      <c r="N136" s="224"/>
      <c r="O136" s="224"/>
      <c r="P136" s="224"/>
      <c r="Q136" s="224"/>
      <c r="R136" s="224"/>
      <c r="S136" s="224"/>
      <c r="T136" s="224"/>
      <c r="U136" s="224"/>
      <c r="V136" s="224"/>
      <c r="W136" s="224"/>
      <c r="X136" s="224"/>
      <c r="Y136" s="224"/>
      <c r="Z136" s="224"/>
      <c r="AA136" s="224"/>
      <c r="AB136" s="224"/>
      <c r="AC136" s="224"/>
      <c r="AD136" s="224"/>
      <c r="AE136" s="224"/>
      <c r="AF136" s="224"/>
      <c r="AG136" s="224"/>
      <c r="AH136" s="224"/>
      <c r="AI136" s="224"/>
      <c r="AJ136" s="224"/>
      <c r="AK136" s="224"/>
      <c r="AL136" s="224"/>
      <c r="AM136" s="224"/>
      <c r="AN136" s="224"/>
      <c r="AO136" s="224"/>
      <c r="AP136" s="224"/>
      <c r="AQ136" s="224"/>
      <c r="AR136" s="224"/>
      <c r="AS136" s="224"/>
    </row>
    <row r="137" spans="1:45" hidden="1" outlineLevel="2">
      <c r="B137" s="9" t="str">
        <f>'Input - Option 2 Detailed Input'!C169</f>
        <v>Crown Lifting</v>
      </c>
      <c r="C137" s="44">
        <f>'Input - Option 2 Detailed Input'!G169</f>
        <v>0</v>
      </c>
      <c r="H137" s="343">
        <f>SUM(J137:EJ137)</f>
        <v>0</v>
      </c>
      <c r="I137" s="211"/>
      <c r="J137" s="224">
        <f>-IF((J$3=$D$124),($C137)*J$4,)</f>
        <v>0</v>
      </c>
      <c r="K137" s="224">
        <f t="shared" ref="K137:AS141" si="39">-IF((K$3=$D$124),($C137)*K$4,)</f>
        <v>0</v>
      </c>
      <c r="L137" s="224">
        <f t="shared" si="39"/>
        <v>0</v>
      </c>
      <c r="M137" s="224">
        <f t="shared" si="39"/>
        <v>0</v>
      </c>
      <c r="N137" s="224">
        <f t="shared" si="39"/>
        <v>0</v>
      </c>
      <c r="O137" s="224">
        <f t="shared" si="39"/>
        <v>0</v>
      </c>
      <c r="P137" s="224">
        <f t="shared" si="39"/>
        <v>0</v>
      </c>
      <c r="Q137" s="224">
        <f t="shared" si="39"/>
        <v>0</v>
      </c>
      <c r="R137" s="224">
        <f t="shared" si="39"/>
        <v>0</v>
      </c>
      <c r="S137" s="224">
        <f t="shared" si="39"/>
        <v>0</v>
      </c>
      <c r="T137" s="224">
        <f t="shared" si="39"/>
        <v>0</v>
      </c>
      <c r="U137" s="224">
        <f t="shared" si="39"/>
        <v>0</v>
      </c>
      <c r="V137" s="224">
        <f t="shared" si="39"/>
        <v>0</v>
      </c>
      <c r="W137" s="224">
        <f t="shared" si="39"/>
        <v>0</v>
      </c>
      <c r="X137" s="224">
        <f t="shared" si="39"/>
        <v>0</v>
      </c>
      <c r="Y137" s="224">
        <f t="shared" si="39"/>
        <v>0</v>
      </c>
      <c r="Z137" s="224">
        <f t="shared" si="39"/>
        <v>0</v>
      </c>
      <c r="AA137" s="224">
        <f t="shared" si="39"/>
        <v>0</v>
      </c>
      <c r="AB137" s="224">
        <f t="shared" si="39"/>
        <v>0</v>
      </c>
      <c r="AC137" s="224">
        <f t="shared" si="39"/>
        <v>0</v>
      </c>
      <c r="AD137" s="224">
        <f t="shared" si="39"/>
        <v>0</v>
      </c>
      <c r="AE137" s="224">
        <f t="shared" si="39"/>
        <v>0</v>
      </c>
      <c r="AF137" s="224">
        <f t="shared" si="39"/>
        <v>0</v>
      </c>
      <c r="AG137" s="224">
        <f t="shared" si="39"/>
        <v>0</v>
      </c>
      <c r="AH137" s="224">
        <f t="shared" si="39"/>
        <v>0</v>
      </c>
      <c r="AI137" s="224">
        <f t="shared" si="39"/>
        <v>0</v>
      </c>
      <c r="AJ137" s="224">
        <f t="shared" si="39"/>
        <v>0</v>
      </c>
      <c r="AK137" s="224">
        <f t="shared" si="39"/>
        <v>0</v>
      </c>
      <c r="AL137" s="224">
        <f t="shared" si="39"/>
        <v>0</v>
      </c>
      <c r="AM137" s="224">
        <f t="shared" si="39"/>
        <v>0</v>
      </c>
      <c r="AN137" s="224">
        <f t="shared" si="39"/>
        <v>0</v>
      </c>
      <c r="AO137" s="224">
        <f t="shared" si="39"/>
        <v>0</v>
      </c>
      <c r="AP137" s="224">
        <f t="shared" si="39"/>
        <v>0</v>
      </c>
      <c r="AQ137" s="224">
        <f t="shared" si="39"/>
        <v>0</v>
      </c>
      <c r="AR137" s="224">
        <f t="shared" si="39"/>
        <v>0</v>
      </c>
      <c r="AS137" s="224">
        <f t="shared" si="39"/>
        <v>0</v>
      </c>
    </row>
    <row r="138" spans="1:45" hidden="1" outlineLevel="2">
      <c r="B138" s="9" t="str">
        <f>'Input - Option 2 Detailed Input'!C170</f>
        <v>[Additional costs #2]</v>
      </c>
      <c r="C138" s="44">
        <f>'Input - Option 2 Detailed Input'!G170</f>
        <v>0</v>
      </c>
      <c r="H138" s="343">
        <f>SUM(J138:EJ138)</f>
        <v>0</v>
      </c>
      <c r="I138" s="211"/>
      <c r="J138" s="224">
        <f t="shared" ref="J138:Y141" si="40">-IF((J$3=$D$124),($C138)*J$4,)</f>
        <v>0</v>
      </c>
      <c r="K138" s="224">
        <f t="shared" si="40"/>
        <v>0</v>
      </c>
      <c r="L138" s="224">
        <f t="shared" si="40"/>
        <v>0</v>
      </c>
      <c r="M138" s="224">
        <f t="shared" si="40"/>
        <v>0</v>
      </c>
      <c r="N138" s="224">
        <f t="shared" si="40"/>
        <v>0</v>
      </c>
      <c r="O138" s="224">
        <f>-IF((O$3=$D$124),($C138)*O$4,)</f>
        <v>0</v>
      </c>
      <c r="P138" s="224">
        <f t="shared" si="40"/>
        <v>0</v>
      </c>
      <c r="Q138" s="224">
        <f t="shared" si="40"/>
        <v>0</v>
      </c>
      <c r="R138" s="224">
        <f t="shared" si="40"/>
        <v>0</v>
      </c>
      <c r="S138" s="224">
        <f t="shared" si="40"/>
        <v>0</v>
      </c>
      <c r="T138" s="224">
        <f t="shared" si="40"/>
        <v>0</v>
      </c>
      <c r="U138" s="224">
        <f t="shared" si="40"/>
        <v>0</v>
      </c>
      <c r="V138" s="224">
        <f t="shared" si="40"/>
        <v>0</v>
      </c>
      <c r="W138" s="224">
        <f t="shared" si="40"/>
        <v>0</v>
      </c>
      <c r="X138" s="224">
        <f t="shared" si="40"/>
        <v>0</v>
      </c>
      <c r="Y138" s="224">
        <f t="shared" si="40"/>
        <v>0</v>
      </c>
      <c r="Z138" s="224">
        <f t="shared" si="39"/>
        <v>0</v>
      </c>
      <c r="AA138" s="224">
        <f t="shared" si="39"/>
        <v>0</v>
      </c>
      <c r="AB138" s="224">
        <f t="shared" si="39"/>
        <v>0</v>
      </c>
      <c r="AC138" s="224">
        <f t="shared" si="39"/>
        <v>0</v>
      </c>
      <c r="AD138" s="224">
        <f t="shared" si="39"/>
        <v>0</v>
      </c>
      <c r="AE138" s="224">
        <f t="shared" si="39"/>
        <v>0</v>
      </c>
      <c r="AF138" s="224">
        <f t="shared" si="39"/>
        <v>0</v>
      </c>
      <c r="AG138" s="224">
        <f t="shared" si="39"/>
        <v>0</v>
      </c>
      <c r="AH138" s="224">
        <f t="shared" si="39"/>
        <v>0</v>
      </c>
      <c r="AI138" s="224">
        <f t="shared" si="39"/>
        <v>0</v>
      </c>
      <c r="AJ138" s="224">
        <f t="shared" si="39"/>
        <v>0</v>
      </c>
      <c r="AK138" s="224">
        <f t="shared" si="39"/>
        <v>0</v>
      </c>
      <c r="AL138" s="224">
        <f t="shared" si="39"/>
        <v>0</v>
      </c>
      <c r="AM138" s="224">
        <f t="shared" si="39"/>
        <v>0</v>
      </c>
      <c r="AN138" s="224">
        <f t="shared" si="39"/>
        <v>0</v>
      </c>
      <c r="AO138" s="224">
        <f t="shared" si="39"/>
        <v>0</v>
      </c>
      <c r="AP138" s="224">
        <f t="shared" si="39"/>
        <v>0</v>
      </c>
      <c r="AQ138" s="224">
        <f t="shared" si="39"/>
        <v>0</v>
      </c>
      <c r="AR138" s="224">
        <f t="shared" si="39"/>
        <v>0</v>
      </c>
      <c r="AS138" s="224">
        <f t="shared" si="39"/>
        <v>0</v>
      </c>
    </row>
    <row r="139" spans="1:45" hidden="1" outlineLevel="2">
      <c r="B139" s="9" t="str">
        <f>'Input - Option 2 Detailed Input'!C171</f>
        <v xml:space="preserve">[Additional costs #3] </v>
      </c>
      <c r="C139" s="44">
        <f>'Input - Option 2 Detailed Input'!G171</f>
        <v>0</v>
      </c>
      <c r="H139" s="343">
        <f>SUM(J139:EJ139)</f>
        <v>0</v>
      </c>
      <c r="I139" s="211"/>
      <c r="J139" s="224">
        <f t="shared" si="40"/>
        <v>0</v>
      </c>
      <c r="K139" s="224">
        <f t="shared" si="39"/>
        <v>0</v>
      </c>
      <c r="L139" s="224">
        <f t="shared" si="39"/>
        <v>0</v>
      </c>
      <c r="M139" s="224">
        <f t="shared" si="39"/>
        <v>0</v>
      </c>
      <c r="N139" s="224">
        <f t="shared" si="39"/>
        <v>0</v>
      </c>
      <c r="O139" s="224">
        <f t="shared" si="39"/>
        <v>0</v>
      </c>
      <c r="P139" s="224">
        <f t="shared" si="39"/>
        <v>0</v>
      </c>
      <c r="Q139" s="224">
        <f t="shared" si="39"/>
        <v>0</v>
      </c>
      <c r="R139" s="224">
        <f t="shared" si="39"/>
        <v>0</v>
      </c>
      <c r="S139" s="224">
        <f t="shared" si="39"/>
        <v>0</v>
      </c>
      <c r="T139" s="224">
        <f t="shared" si="39"/>
        <v>0</v>
      </c>
      <c r="U139" s="224">
        <f t="shared" si="39"/>
        <v>0</v>
      </c>
      <c r="V139" s="224">
        <f t="shared" si="39"/>
        <v>0</v>
      </c>
      <c r="W139" s="224">
        <f t="shared" si="39"/>
        <v>0</v>
      </c>
      <c r="X139" s="224">
        <f t="shared" si="39"/>
        <v>0</v>
      </c>
      <c r="Y139" s="224">
        <f t="shared" si="39"/>
        <v>0</v>
      </c>
      <c r="Z139" s="224">
        <f t="shared" si="39"/>
        <v>0</v>
      </c>
      <c r="AA139" s="224">
        <f t="shared" si="39"/>
        <v>0</v>
      </c>
      <c r="AB139" s="224">
        <f t="shared" si="39"/>
        <v>0</v>
      </c>
      <c r="AC139" s="224">
        <f t="shared" si="39"/>
        <v>0</v>
      </c>
      <c r="AD139" s="224">
        <f t="shared" si="39"/>
        <v>0</v>
      </c>
      <c r="AE139" s="224">
        <f t="shared" si="39"/>
        <v>0</v>
      </c>
      <c r="AF139" s="224">
        <f t="shared" si="39"/>
        <v>0</v>
      </c>
      <c r="AG139" s="224">
        <f t="shared" si="39"/>
        <v>0</v>
      </c>
      <c r="AH139" s="224">
        <f t="shared" si="39"/>
        <v>0</v>
      </c>
      <c r="AI139" s="224">
        <f t="shared" si="39"/>
        <v>0</v>
      </c>
      <c r="AJ139" s="224">
        <f t="shared" si="39"/>
        <v>0</v>
      </c>
      <c r="AK139" s="224">
        <f t="shared" si="39"/>
        <v>0</v>
      </c>
      <c r="AL139" s="224">
        <f t="shared" si="39"/>
        <v>0</v>
      </c>
      <c r="AM139" s="224">
        <f t="shared" si="39"/>
        <v>0</v>
      </c>
      <c r="AN139" s="224">
        <f t="shared" si="39"/>
        <v>0</v>
      </c>
      <c r="AO139" s="224">
        <f t="shared" si="39"/>
        <v>0</v>
      </c>
      <c r="AP139" s="224">
        <f t="shared" si="39"/>
        <v>0</v>
      </c>
      <c r="AQ139" s="224">
        <f t="shared" si="39"/>
        <v>0</v>
      </c>
      <c r="AR139" s="224">
        <f t="shared" si="39"/>
        <v>0</v>
      </c>
      <c r="AS139" s="224">
        <f t="shared" si="39"/>
        <v>0</v>
      </c>
    </row>
    <row r="140" spans="1:45" hidden="1" outlineLevel="2">
      <c r="B140" s="9" t="str">
        <f>'Input - Option 2 Detailed Input'!C172</f>
        <v>[Additional costs #4]</v>
      </c>
      <c r="C140" s="44">
        <f>'Input - Option 2 Detailed Input'!G172</f>
        <v>0</v>
      </c>
      <c r="H140" s="343">
        <f>SUM(J140:EJ140)</f>
        <v>0</v>
      </c>
      <c r="I140" s="211"/>
      <c r="J140" s="224">
        <f t="shared" si="40"/>
        <v>0</v>
      </c>
      <c r="K140" s="224">
        <f t="shared" si="39"/>
        <v>0</v>
      </c>
      <c r="L140" s="224">
        <f t="shared" si="39"/>
        <v>0</v>
      </c>
      <c r="M140" s="224">
        <f t="shared" si="39"/>
        <v>0</v>
      </c>
      <c r="N140" s="224">
        <f t="shared" si="39"/>
        <v>0</v>
      </c>
      <c r="O140" s="224">
        <f t="shared" si="39"/>
        <v>0</v>
      </c>
      <c r="P140" s="224">
        <f t="shared" si="39"/>
        <v>0</v>
      </c>
      <c r="Q140" s="224">
        <f t="shared" si="39"/>
        <v>0</v>
      </c>
      <c r="R140" s="224">
        <f t="shared" si="39"/>
        <v>0</v>
      </c>
      <c r="S140" s="224">
        <f t="shared" si="39"/>
        <v>0</v>
      </c>
      <c r="T140" s="224">
        <f t="shared" si="39"/>
        <v>0</v>
      </c>
      <c r="U140" s="224">
        <f t="shared" si="39"/>
        <v>0</v>
      </c>
      <c r="V140" s="224">
        <f t="shared" si="39"/>
        <v>0</v>
      </c>
      <c r="W140" s="224">
        <f t="shared" si="39"/>
        <v>0</v>
      </c>
      <c r="X140" s="224">
        <f t="shared" si="39"/>
        <v>0</v>
      </c>
      <c r="Y140" s="224">
        <f t="shared" si="39"/>
        <v>0</v>
      </c>
      <c r="Z140" s="224">
        <f t="shared" si="39"/>
        <v>0</v>
      </c>
      <c r="AA140" s="224">
        <f t="shared" si="39"/>
        <v>0</v>
      </c>
      <c r="AB140" s="224">
        <f t="shared" si="39"/>
        <v>0</v>
      </c>
      <c r="AC140" s="224">
        <f t="shared" si="39"/>
        <v>0</v>
      </c>
      <c r="AD140" s="224">
        <f t="shared" si="39"/>
        <v>0</v>
      </c>
      <c r="AE140" s="224">
        <f t="shared" si="39"/>
        <v>0</v>
      </c>
      <c r="AF140" s="224">
        <f t="shared" si="39"/>
        <v>0</v>
      </c>
      <c r="AG140" s="224">
        <f t="shared" si="39"/>
        <v>0</v>
      </c>
      <c r="AH140" s="224">
        <f t="shared" si="39"/>
        <v>0</v>
      </c>
      <c r="AI140" s="224">
        <f t="shared" si="39"/>
        <v>0</v>
      </c>
      <c r="AJ140" s="224">
        <f t="shared" si="39"/>
        <v>0</v>
      </c>
      <c r="AK140" s="224">
        <f t="shared" si="39"/>
        <v>0</v>
      </c>
      <c r="AL140" s="224">
        <f t="shared" si="39"/>
        <v>0</v>
      </c>
      <c r="AM140" s="224">
        <f t="shared" si="39"/>
        <v>0</v>
      </c>
      <c r="AN140" s="224">
        <f t="shared" si="39"/>
        <v>0</v>
      </c>
      <c r="AO140" s="224">
        <f t="shared" si="39"/>
        <v>0</v>
      </c>
      <c r="AP140" s="224">
        <f t="shared" si="39"/>
        <v>0</v>
      </c>
      <c r="AQ140" s="224">
        <f t="shared" si="39"/>
        <v>0</v>
      </c>
      <c r="AR140" s="224">
        <f t="shared" si="39"/>
        <v>0</v>
      </c>
      <c r="AS140" s="224">
        <f t="shared" si="39"/>
        <v>0</v>
      </c>
    </row>
    <row r="141" spans="1:45" hidden="1" outlineLevel="2">
      <c r="B141" s="9" t="str">
        <f>'Input - Option 2 Detailed Input'!C173</f>
        <v xml:space="preserve">[Additional costs #5] </v>
      </c>
      <c r="C141" s="44">
        <f>'Input - Option 2 Detailed Input'!G173</f>
        <v>0</v>
      </c>
      <c r="H141" s="343">
        <f>SUM(J141:EJ141)</f>
        <v>0</v>
      </c>
      <c r="I141" s="211"/>
      <c r="J141" s="224">
        <f t="shared" si="40"/>
        <v>0</v>
      </c>
      <c r="K141" s="224">
        <f t="shared" si="39"/>
        <v>0</v>
      </c>
      <c r="L141" s="224">
        <f t="shared" si="39"/>
        <v>0</v>
      </c>
      <c r="M141" s="224">
        <f t="shared" si="39"/>
        <v>0</v>
      </c>
      <c r="N141" s="224">
        <f t="shared" si="39"/>
        <v>0</v>
      </c>
      <c r="O141" s="224">
        <f t="shared" si="39"/>
        <v>0</v>
      </c>
      <c r="P141" s="224">
        <f t="shared" si="39"/>
        <v>0</v>
      </c>
      <c r="Q141" s="224">
        <f t="shared" si="39"/>
        <v>0</v>
      </c>
      <c r="R141" s="224">
        <f t="shared" si="39"/>
        <v>0</v>
      </c>
      <c r="S141" s="224">
        <f t="shared" si="39"/>
        <v>0</v>
      </c>
      <c r="T141" s="224">
        <f t="shared" si="39"/>
        <v>0</v>
      </c>
      <c r="U141" s="224">
        <f t="shared" si="39"/>
        <v>0</v>
      </c>
      <c r="V141" s="224">
        <f t="shared" si="39"/>
        <v>0</v>
      </c>
      <c r="W141" s="224">
        <f t="shared" si="39"/>
        <v>0</v>
      </c>
      <c r="X141" s="224">
        <f t="shared" si="39"/>
        <v>0</v>
      </c>
      <c r="Y141" s="224">
        <f t="shared" si="39"/>
        <v>0</v>
      </c>
      <c r="Z141" s="224">
        <f t="shared" si="39"/>
        <v>0</v>
      </c>
      <c r="AA141" s="224">
        <f t="shared" si="39"/>
        <v>0</v>
      </c>
      <c r="AB141" s="224">
        <f t="shared" si="39"/>
        <v>0</v>
      </c>
      <c r="AC141" s="224">
        <f t="shared" si="39"/>
        <v>0</v>
      </c>
      <c r="AD141" s="224">
        <f t="shared" si="39"/>
        <v>0</v>
      </c>
      <c r="AE141" s="224">
        <f t="shared" si="39"/>
        <v>0</v>
      </c>
      <c r="AF141" s="224">
        <f t="shared" si="39"/>
        <v>0</v>
      </c>
      <c r="AG141" s="224">
        <f t="shared" si="39"/>
        <v>0</v>
      </c>
      <c r="AH141" s="224">
        <f t="shared" si="39"/>
        <v>0</v>
      </c>
      <c r="AI141" s="224">
        <f t="shared" si="39"/>
        <v>0</v>
      </c>
      <c r="AJ141" s="224">
        <f t="shared" si="39"/>
        <v>0</v>
      </c>
      <c r="AK141" s="224">
        <f t="shared" si="39"/>
        <v>0</v>
      </c>
      <c r="AL141" s="224">
        <f t="shared" si="39"/>
        <v>0</v>
      </c>
      <c r="AM141" s="224">
        <f t="shared" si="39"/>
        <v>0</v>
      </c>
      <c r="AN141" s="224">
        <f t="shared" si="39"/>
        <v>0</v>
      </c>
      <c r="AO141" s="224">
        <f t="shared" si="39"/>
        <v>0</v>
      </c>
      <c r="AP141" s="224">
        <f t="shared" si="39"/>
        <v>0</v>
      </c>
      <c r="AQ141" s="224">
        <f t="shared" si="39"/>
        <v>0</v>
      </c>
      <c r="AR141" s="224">
        <f t="shared" si="39"/>
        <v>0</v>
      </c>
      <c r="AS141" s="224">
        <f t="shared" si="39"/>
        <v>0</v>
      </c>
    </row>
    <row r="142" spans="1:45" hidden="1" outlineLevel="2">
      <c r="H142" s="17"/>
    </row>
    <row r="143" spans="1:45" hidden="1" outlineLevel="2">
      <c r="A143" s="15"/>
      <c r="B143" s="16" t="s">
        <v>310</v>
      </c>
      <c r="C143" s="12"/>
      <c r="D143" s="12"/>
      <c r="E143" s="12"/>
      <c r="F143" s="12"/>
      <c r="G143" s="12"/>
      <c r="H143" s="259">
        <f>SUM(H122,H137:H141,H125:H134)</f>
        <v>0</v>
      </c>
      <c r="I143" s="215"/>
      <c r="J143" s="225">
        <f>SUM(J122,J125:J134,J137:J141)</f>
        <v>0</v>
      </c>
      <c r="K143" s="225">
        <f t="shared" ref="K143:AS143" si="41">SUM(K122,K125:K134,K137:K141)</f>
        <v>0</v>
      </c>
      <c r="L143" s="225">
        <f t="shared" si="41"/>
        <v>0</v>
      </c>
      <c r="M143" s="225">
        <f t="shared" si="41"/>
        <v>0</v>
      </c>
      <c r="N143" s="225">
        <f t="shared" si="41"/>
        <v>0</v>
      </c>
      <c r="O143" s="225">
        <f t="shared" si="41"/>
        <v>0</v>
      </c>
      <c r="P143" s="225">
        <f t="shared" si="41"/>
        <v>0</v>
      </c>
      <c r="Q143" s="225">
        <f t="shared" si="41"/>
        <v>0</v>
      </c>
      <c r="R143" s="225">
        <f t="shared" si="41"/>
        <v>0</v>
      </c>
      <c r="S143" s="225">
        <f t="shared" si="41"/>
        <v>0</v>
      </c>
      <c r="T143" s="225">
        <f t="shared" si="41"/>
        <v>0</v>
      </c>
      <c r="U143" s="225">
        <f t="shared" si="41"/>
        <v>0</v>
      </c>
      <c r="V143" s="225">
        <f t="shared" si="41"/>
        <v>0</v>
      </c>
      <c r="W143" s="225">
        <f t="shared" si="41"/>
        <v>0</v>
      </c>
      <c r="X143" s="225">
        <f t="shared" si="41"/>
        <v>0</v>
      </c>
      <c r="Y143" s="225">
        <f t="shared" si="41"/>
        <v>0</v>
      </c>
      <c r="Z143" s="225">
        <f t="shared" si="41"/>
        <v>0</v>
      </c>
      <c r="AA143" s="225">
        <f t="shared" si="41"/>
        <v>0</v>
      </c>
      <c r="AB143" s="225">
        <f t="shared" si="41"/>
        <v>0</v>
      </c>
      <c r="AC143" s="225">
        <f t="shared" si="41"/>
        <v>0</v>
      </c>
      <c r="AD143" s="225">
        <f t="shared" si="41"/>
        <v>0</v>
      </c>
      <c r="AE143" s="225">
        <f t="shared" si="41"/>
        <v>0</v>
      </c>
      <c r="AF143" s="225">
        <f t="shared" si="41"/>
        <v>0</v>
      </c>
      <c r="AG143" s="225">
        <f t="shared" si="41"/>
        <v>0</v>
      </c>
      <c r="AH143" s="225">
        <f t="shared" si="41"/>
        <v>0</v>
      </c>
      <c r="AI143" s="225">
        <f t="shared" si="41"/>
        <v>0</v>
      </c>
      <c r="AJ143" s="225">
        <f t="shared" si="41"/>
        <v>0</v>
      </c>
      <c r="AK143" s="225">
        <f t="shared" si="41"/>
        <v>0</v>
      </c>
      <c r="AL143" s="225">
        <f t="shared" si="41"/>
        <v>0</v>
      </c>
      <c r="AM143" s="225">
        <f t="shared" si="41"/>
        <v>0</v>
      </c>
      <c r="AN143" s="225">
        <f t="shared" si="41"/>
        <v>0</v>
      </c>
      <c r="AO143" s="225">
        <f t="shared" si="41"/>
        <v>0</v>
      </c>
      <c r="AP143" s="225">
        <f t="shared" si="41"/>
        <v>0</v>
      </c>
      <c r="AQ143" s="225">
        <f t="shared" si="41"/>
        <v>0</v>
      </c>
      <c r="AR143" s="225">
        <f t="shared" si="41"/>
        <v>0</v>
      </c>
      <c r="AS143" s="225">
        <f t="shared" si="41"/>
        <v>0</v>
      </c>
    </row>
    <row r="144" spans="1:45" hidden="1" outlineLevel="2">
      <c r="H144" s="35"/>
      <c r="I144" s="213"/>
    </row>
    <row r="145" spans="2:45" hidden="1" outlineLevel="2">
      <c r="B145" s="103" t="str">
        <f>'Input - Option 2 Detailed Input'!C175</f>
        <v>Year 2 of establishment and maintenance</v>
      </c>
      <c r="C145" s="25" t="str">
        <f>'Input - Option 2 Detailed Input'!H176</f>
        <v>Total Costs (per visit)</v>
      </c>
      <c r="D145" s="39" t="str">
        <f>IF(C3=C4,'Input - Option 2 Detailed Input'!D175,"-")</f>
        <v>-</v>
      </c>
      <c r="H145" s="35"/>
      <c r="I145" s="213"/>
    </row>
    <row r="146" spans="2:45" hidden="1" outlineLevel="2">
      <c r="B146" s="9" t="str">
        <f>'Input - Option 2 Detailed Input'!$C$156</f>
        <v>Recuring unitary maintenance visits (e.g. watering, mulching, etc.)</v>
      </c>
      <c r="C146" s="44">
        <f>'Input - Option 2 Detailed Input'!H177</f>
        <v>0</v>
      </c>
      <c r="H146" s="343">
        <f t="shared" ref="H146:H155" si="42">SUM(J146:EJ146)</f>
        <v>0</v>
      </c>
      <c r="I146" s="211"/>
      <c r="J146" s="224">
        <f>-IF((J$3=$D$145),($C146)*J$4,)</f>
        <v>0</v>
      </c>
      <c r="K146" s="224">
        <f t="shared" ref="K146:AS153" si="43">-IF((K$3=$D$145),($C146)*K$4,)</f>
        <v>0</v>
      </c>
      <c r="L146" s="224">
        <f t="shared" si="43"/>
        <v>0</v>
      </c>
      <c r="M146" s="224">
        <f t="shared" si="43"/>
        <v>0</v>
      </c>
      <c r="N146" s="224">
        <f t="shared" si="43"/>
        <v>0</v>
      </c>
      <c r="O146" s="224">
        <f t="shared" si="43"/>
        <v>0</v>
      </c>
      <c r="P146" s="224">
        <f t="shared" si="43"/>
        <v>0</v>
      </c>
      <c r="Q146" s="224">
        <f t="shared" si="43"/>
        <v>0</v>
      </c>
      <c r="R146" s="224">
        <f t="shared" si="43"/>
        <v>0</v>
      </c>
      <c r="S146" s="224">
        <f t="shared" si="43"/>
        <v>0</v>
      </c>
      <c r="T146" s="224">
        <f t="shared" si="43"/>
        <v>0</v>
      </c>
      <c r="U146" s="224">
        <f t="shared" si="43"/>
        <v>0</v>
      </c>
      <c r="V146" s="224">
        <f t="shared" si="43"/>
        <v>0</v>
      </c>
      <c r="W146" s="224">
        <f t="shared" si="43"/>
        <v>0</v>
      </c>
      <c r="X146" s="224">
        <f t="shared" si="43"/>
        <v>0</v>
      </c>
      <c r="Y146" s="224">
        <f t="shared" si="43"/>
        <v>0</v>
      </c>
      <c r="Z146" s="224">
        <f t="shared" si="43"/>
        <v>0</v>
      </c>
      <c r="AA146" s="224">
        <f t="shared" si="43"/>
        <v>0</v>
      </c>
      <c r="AB146" s="224">
        <f t="shared" si="43"/>
        <v>0</v>
      </c>
      <c r="AC146" s="224">
        <f t="shared" si="43"/>
        <v>0</v>
      </c>
      <c r="AD146" s="224">
        <f t="shared" si="43"/>
        <v>0</v>
      </c>
      <c r="AE146" s="224">
        <f t="shared" si="43"/>
        <v>0</v>
      </c>
      <c r="AF146" s="224">
        <f t="shared" si="43"/>
        <v>0</v>
      </c>
      <c r="AG146" s="224">
        <f t="shared" si="43"/>
        <v>0</v>
      </c>
      <c r="AH146" s="224">
        <f t="shared" si="43"/>
        <v>0</v>
      </c>
      <c r="AI146" s="224">
        <f t="shared" si="43"/>
        <v>0</v>
      </c>
      <c r="AJ146" s="224">
        <f t="shared" si="43"/>
        <v>0</v>
      </c>
      <c r="AK146" s="224">
        <f t="shared" si="43"/>
        <v>0</v>
      </c>
      <c r="AL146" s="224">
        <f t="shared" si="43"/>
        <v>0</v>
      </c>
      <c r="AM146" s="224">
        <f t="shared" si="43"/>
        <v>0</v>
      </c>
      <c r="AN146" s="224">
        <f t="shared" si="43"/>
        <v>0</v>
      </c>
      <c r="AO146" s="224">
        <f t="shared" si="43"/>
        <v>0</v>
      </c>
      <c r="AP146" s="224">
        <f t="shared" si="43"/>
        <v>0</v>
      </c>
      <c r="AQ146" s="224">
        <f t="shared" si="43"/>
        <v>0</v>
      </c>
      <c r="AR146" s="224">
        <f t="shared" si="43"/>
        <v>0</v>
      </c>
      <c r="AS146" s="224">
        <f t="shared" si="43"/>
        <v>0</v>
      </c>
    </row>
    <row r="147" spans="2:45" hidden="1" outlineLevel="2">
      <c r="B147" s="9" t="str">
        <f>'Input - Option 2 Detailed Input'!$C$158</f>
        <v>Establishment checks (including collection, collation, interpretation and sharing of consistent tree establishment data )</v>
      </c>
      <c r="C147" s="44">
        <f>'Input - Option 2 Detailed Input'!H179</f>
        <v>0</v>
      </c>
      <c r="H147" s="343">
        <f t="shared" si="42"/>
        <v>0</v>
      </c>
      <c r="I147" s="211"/>
      <c r="J147" s="224">
        <f t="shared" ref="J147:Y155" si="44">-IF((J$3=$D$145),($C147)*J$4,)</f>
        <v>0</v>
      </c>
      <c r="K147" s="224">
        <f t="shared" si="43"/>
        <v>0</v>
      </c>
      <c r="L147" s="224">
        <f t="shared" si="43"/>
        <v>0</v>
      </c>
      <c r="M147" s="224">
        <f t="shared" si="43"/>
        <v>0</v>
      </c>
      <c r="N147" s="224">
        <f t="shared" si="43"/>
        <v>0</v>
      </c>
      <c r="O147" s="224">
        <f t="shared" si="43"/>
        <v>0</v>
      </c>
      <c r="P147" s="224">
        <f t="shared" si="43"/>
        <v>0</v>
      </c>
      <c r="Q147" s="224">
        <f t="shared" si="43"/>
        <v>0</v>
      </c>
      <c r="R147" s="224">
        <f t="shared" si="43"/>
        <v>0</v>
      </c>
      <c r="S147" s="224">
        <f t="shared" si="43"/>
        <v>0</v>
      </c>
      <c r="T147" s="224">
        <f t="shared" si="43"/>
        <v>0</v>
      </c>
      <c r="U147" s="224">
        <f t="shared" si="43"/>
        <v>0</v>
      </c>
      <c r="V147" s="224">
        <f t="shared" si="43"/>
        <v>0</v>
      </c>
      <c r="W147" s="224">
        <f t="shared" si="43"/>
        <v>0</v>
      </c>
      <c r="X147" s="224">
        <f t="shared" si="43"/>
        <v>0</v>
      </c>
      <c r="Y147" s="224">
        <f t="shared" si="43"/>
        <v>0</v>
      </c>
      <c r="Z147" s="224">
        <f t="shared" si="43"/>
        <v>0</v>
      </c>
      <c r="AA147" s="224">
        <f t="shared" si="43"/>
        <v>0</v>
      </c>
      <c r="AB147" s="224">
        <f t="shared" si="43"/>
        <v>0</v>
      </c>
      <c r="AC147" s="224">
        <f t="shared" si="43"/>
        <v>0</v>
      </c>
      <c r="AD147" s="224">
        <f t="shared" si="43"/>
        <v>0</v>
      </c>
      <c r="AE147" s="224">
        <f t="shared" si="43"/>
        <v>0</v>
      </c>
      <c r="AF147" s="224">
        <f t="shared" si="43"/>
        <v>0</v>
      </c>
      <c r="AG147" s="224">
        <f t="shared" si="43"/>
        <v>0</v>
      </c>
      <c r="AH147" s="224">
        <f t="shared" si="43"/>
        <v>0</v>
      </c>
      <c r="AI147" s="224">
        <f t="shared" si="43"/>
        <v>0</v>
      </c>
      <c r="AJ147" s="224">
        <f t="shared" si="43"/>
        <v>0</v>
      </c>
      <c r="AK147" s="224">
        <f t="shared" si="43"/>
        <v>0</v>
      </c>
      <c r="AL147" s="224">
        <f t="shared" si="43"/>
        <v>0</v>
      </c>
      <c r="AM147" s="224">
        <f t="shared" si="43"/>
        <v>0</v>
      </c>
      <c r="AN147" s="224">
        <f t="shared" si="43"/>
        <v>0</v>
      </c>
      <c r="AO147" s="224">
        <f t="shared" si="43"/>
        <v>0</v>
      </c>
      <c r="AP147" s="224">
        <f t="shared" si="43"/>
        <v>0</v>
      </c>
      <c r="AQ147" s="224">
        <f t="shared" si="43"/>
        <v>0</v>
      </c>
      <c r="AR147" s="224">
        <f t="shared" si="43"/>
        <v>0</v>
      </c>
      <c r="AS147" s="224">
        <f t="shared" si="43"/>
        <v>0</v>
      </c>
    </row>
    <row r="148" spans="2:45" hidden="1" outlineLevel="2">
      <c r="B148" s="9" t="str">
        <f>'Input - Option 2 Detailed Input'!$C$159</f>
        <v>Maintenance, removal and/or disposal of (where relevant) stakes, ties, and guard, grills, concrete rings, base surrounds, tree protection, etc.</v>
      </c>
      <c r="C148" s="44">
        <f>'Input - Option 2 Detailed Input'!H180</f>
        <v>0</v>
      </c>
      <c r="H148" s="343">
        <f t="shared" si="42"/>
        <v>0</v>
      </c>
      <c r="I148" s="211"/>
      <c r="J148" s="224">
        <f t="shared" si="44"/>
        <v>0</v>
      </c>
      <c r="K148" s="224">
        <f t="shared" si="43"/>
        <v>0</v>
      </c>
      <c r="L148" s="224">
        <f t="shared" si="43"/>
        <v>0</v>
      </c>
      <c r="M148" s="224">
        <f t="shared" si="43"/>
        <v>0</v>
      </c>
      <c r="N148" s="224">
        <f t="shared" si="43"/>
        <v>0</v>
      </c>
      <c r="O148" s="224">
        <f t="shared" si="43"/>
        <v>0</v>
      </c>
      <c r="P148" s="224">
        <f t="shared" si="43"/>
        <v>0</v>
      </c>
      <c r="Q148" s="224">
        <f t="shared" si="43"/>
        <v>0</v>
      </c>
      <c r="R148" s="224">
        <f t="shared" si="43"/>
        <v>0</v>
      </c>
      <c r="S148" s="224">
        <f t="shared" si="43"/>
        <v>0</v>
      </c>
      <c r="T148" s="224">
        <f t="shared" si="43"/>
        <v>0</v>
      </c>
      <c r="U148" s="224">
        <f t="shared" si="43"/>
        <v>0</v>
      </c>
      <c r="V148" s="224">
        <f t="shared" si="43"/>
        <v>0</v>
      </c>
      <c r="W148" s="224">
        <f t="shared" si="43"/>
        <v>0</v>
      </c>
      <c r="X148" s="224">
        <f t="shared" si="43"/>
        <v>0</v>
      </c>
      <c r="Y148" s="224">
        <f t="shared" si="43"/>
        <v>0</v>
      </c>
      <c r="Z148" s="224">
        <f t="shared" si="43"/>
        <v>0</v>
      </c>
      <c r="AA148" s="224">
        <f t="shared" si="43"/>
        <v>0</v>
      </c>
      <c r="AB148" s="224">
        <f t="shared" si="43"/>
        <v>0</v>
      </c>
      <c r="AC148" s="224">
        <f t="shared" si="43"/>
        <v>0</v>
      </c>
      <c r="AD148" s="224">
        <f t="shared" si="43"/>
        <v>0</v>
      </c>
      <c r="AE148" s="224">
        <f t="shared" si="43"/>
        <v>0</v>
      </c>
      <c r="AF148" s="224">
        <f t="shared" si="43"/>
        <v>0</v>
      </c>
      <c r="AG148" s="224">
        <f t="shared" si="43"/>
        <v>0</v>
      </c>
      <c r="AH148" s="224">
        <f t="shared" si="43"/>
        <v>0</v>
      </c>
      <c r="AI148" s="224">
        <f t="shared" si="43"/>
        <v>0</v>
      </c>
      <c r="AJ148" s="224">
        <f t="shared" si="43"/>
        <v>0</v>
      </c>
      <c r="AK148" s="224">
        <f t="shared" si="43"/>
        <v>0</v>
      </c>
      <c r="AL148" s="224">
        <f t="shared" si="43"/>
        <v>0</v>
      </c>
      <c r="AM148" s="224">
        <f t="shared" si="43"/>
        <v>0</v>
      </c>
      <c r="AN148" s="224">
        <f t="shared" si="43"/>
        <v>0</v>
      </c>
      <c r="AO148" s="224">
        <f t="shared" si="43"/>
        <v>0</v>
      </c>
      <c r="AP148" s="224">
        <f t="shared" si="43"/>
        <v>0</v>
      </c>
      <c r="AQ148" s="224">
        <f t="shared" si="43"/>
        <v>0</v>
      </c>
      <c r="AR148" s="224">
        <f t="shared" si="43"/>
        <v>0</v>
      </c>
      <c r="AS148" s="224">
        <f t="shared" si="43"/>
        <v>0</v>
      </c>
    </row>
    <row r="149" spans="2:45" hidden="1" outlineLevel="2">
      <c r="B149" s="9" t="str">
        <f>'Input - Option 2 Detailed Input'!$C$160</f>
        <v xml:space="preserve">Safety inspection cost </v>
      </c>
      <c r="C149" s="44">
        <f>'Input - Option 2 Detailed Input'!H181</f>
        <v>0</v>
      </c>
      <c r="H149" s="343">
        <f t="shared" si="42"/>
        <v>0</v>
      </c>
      <c r="I149" s="211"/>
      <c r="J149" s="224">
        <f t="shared" si="44"/>
        <v>0</v>
      </c>
      <c r="K149" s="224">
        <f t="shared" si="43"/>
        <v>0</v>
      </c>
      <c r="L149" s="224">
        <f t="shared" si="43"/>
        <v>0</v>
      </c>
      <c r="M149" s="224">
        <f t="shared" si="43"/>
        <v>0</v>
      </c>
      <c r="N149" s="224">
        <f t="shared" si="43"/>
        <v>0</v>
      </c>
      <c r="O149" s="224">
        <f t="shared" si="43"/>
        <v>0</v>
      </c>
      <c r="P149" s="224">
        <f t="shared" si="43"/>
        <v>0</v>
      </c>
      <c r="Q149" s="224">
        <f t="shared" si="43"/>
        <v>0</v>
      </c>
      <c r="R149" s="224">
        <f t="shared" si="43"/>
        <v>0</v>
      </c>
      <c r="S149" s="224">
        <f t="shared" si="43"/>
        <v>0</v>
      </c>
      <c r="T149" s="224">
        <f t="shared" si="43"/>
        <v>0</v>
      </c>
      <c r="U149" s="224">
        <f t="shared" si="43"/>
        <v>0</v>
      </c>
      <c r="V149" s="224">
        <f t="shared" si="43"/>
        <v>0</v>
      </c>
      <c r="W149" s="224">
        <f t="shared" si="43"/>
        <v>0</v>
      </c>
      <c r="X149" s="224">
        <f t="shared" si="43"/>
        <v>0</v>
      </c>
      <c r="Y149" s="224">
        <f t="shared" si="43"/>
        <v>0</v>
      </c>
      <c r="Z149" s="224">
        <f t="shared" si="43"/>
        <v>0</v>
      </c>
      <c r="AA149" s="224">
        <f t="shared" si="43"/>
        <v>0</v>
      </c>
      <c r="AB149" s="224">
        <f t="shared" si="43"/>
        <v>0</v>
      </c>
      <c r="AC149" s="224">
        <f t="shared" si="43"/>
        <v>0</v>
      </c>
      <c r="AD149" s="224">
        <f t="shared" si="43"/>
        <v>0</v>
      </c>
      <c r="AE149" s="224">
        <f t="shared" si="43"/>
        <v>0</v>
      </c>
      <c r="AF149" s="224">
        <f t="shared" si="43"/>
        <v>0</v>
      </c>
      <c r="AG149" s="224">
        <f t="shared" si="43"/>
        <v>0</v>
      </c>
      <c r="AH149" s="224">
        <f t="shared" si="43"/>
        <v>0</v>
      </c>
      <c r="AI149" s="224">
        <f t="shared" si="43"/>
        <v>0</v>
      </c>
      <c r="AJ149" s="224">
        <f t="shared" si="43"/>
        <v>0</v>
      </c>
      <c r="AK149" s="224">
        <f t="shared" si="43"/>
        <v>0</v>
      </c>
      <c r="AL149" s="224">
        <f t="shared" si="43"/>
        <v>0</v>
      </c>
      <c r="AM149" s="224">
        <f t="shared" si="43"/>
        <v>0</v>
      </c>
      <c r="AN149" s="224">
        <f t="shared" si="43"/>
        <v>0</v>
      </c>
      <c r="AO149" s="224">
        <f t="shared" si="43"/>
        <v>0</v>
      </c>
      <c r="AP149" s="224">
        <f t="shared" si="43"/>
        <v>0</v>
      </c>
      <c r="AQ149" s="224">
        <f t="shared" si="43"/>
        <v>0</v>
      </c>
      <c r="AR149" s="224">
        <f t="shared" si="43"/>
        <v>0</v>
      </c>
      <c r="AS149" s="224">
        <f t="shared" si="43"/>
        <v>0</v>
      </c>
    </row>
    <row r="150" spans="2:45" hidden="1" outlineLevel="2">
      <c r="B150" s="9" t="str">
        <f>'Input - Option 2 Detailed Input'!$C$161</f>
        <v xml:space="preserve">Crown lifting </v>
      </c>
      <c r="C150" s="44">
        <f>'Input - Option 2 Detailed Input'!H182</f>
        <v>0</v>
      </c>
      <c r="H150" s="343">
        <f t="shared" si="42"/>
        <v>0</v>
      </c>
      <c r="I150" s="211"/>
      <c r="J150" s="224">
        <f t="shared" si="44"/>
        <v>0</v>
      </c>
      <c r="K150" s="224">
        <f t="shared" si="43"/>
        <v>0</v>
      </c>
      <c r="L150" s="224">
        <f t="shared" si="43"/>
        <v>0</v>
      </c>
      <c r="M150" s="224">
        <f t="shared" si="43"/>
        <v>0</v>
      </c>
      <c r="N150" s="224">
        <f t="shared" si="43"/>
        <v>0</v>
      </c>
      <c r="O150" s="224">
        <f t="shared" si="43"/>
        <v>0</v>
      </c>
      <c r="P150" s="224">
        <f t="shared" si="43"/>
        <v>0</v>
      </c>
      <c r="Q150" s="224">
        <f t="shared" si="43"/>
        <v>0</v>
      </c>
      <c r="R150" s="224">
        <f t="shared" si="43"/>
        <v>0</v>
      </c>
      <c r="S150" s="224">
        <f t="shared" si="43"/>
        <v>0</v>
      </c>
      <c r="T150" s="224">
        <f t="shared" si="43"/>
        <v>0</v>
      </c>
      <c r="U150" s="224">
        <f t="shared" si="43"/>
        <v>0</v>
      </c>
      <c r="V150" s="224">
        <f t="shared" si="43"/>
        <v>0</v>
      </c>
      <c r="W150" s="224">
        <f t="shared" si="43"/>
        <v>0</v>
      </c>
      <c r="X150" s="224">
        <f t="shared" si="43"/>
        <v>0</v>
      </c>
      <c r="Y150" s="224">
        <f t="shared" si="43"/>
        <v>0</v>
      </c>
      <c r="Z150" s="224">
        <f t="shared" si="43"/>
        <v>0</v>
      </c>
      <c r="AA150" s="224">
        <f t="shared" si="43"/>
        <v>0</v>
      </c>
      <c r="AB150" s="224">
        <f t="shared" si="43"/>
        <v>0</v>
      </c>
      <c r="AC150" s="224">
        <f t="shared" si="43"/>
        <v>0</v>
      </c>
      <c r="AD150" s="224">
        <f t="shared" si="43"/>
        <v>0</v>
      </c>
      <c r="AE150" s="224">
        <f t="shared" si="43"/>
        <v>0</v>
      </c>
      <c r="AF150" s="224">
        <f t="shared" si="43"/>
        <v>0</v>
      </c>
      <c r="AG150" s="224">
        <f t="shared" si="43"/>
        <v>0</v>
      </c>
      <c r="AH150" s="224">
        <f t="shared" si="43"/>
        <v>0</v>
      </c>
      <c r="AI150" s="224">
        <f t="shared" si="43"/>
        <v>0</v>
      </c>
      <c r="AJ150" s="224">
        <f t="shared" si="43"/>
        <v>0</v>
      </c>
      <c r="AK150" s="224">
        <f t="shared" si="43"/>
        <v>0</v>
      </c>
      <c r="AL150" s="224">
        <f t="shared" si="43"/>
        <v>0</v>
      </c>
      <c r="AM150" s="224">
        <f t="shared" si="43"/>
        <v>0</v>
      </c>
      <c r="AN150" s="224">
        <f t="shared" si="43"/>
        <v>0</v>
      </c>
      <c r="AO150" s="224">
        <f t="shared" si="43"/>
        <v>0</v>
      </c>
      <c r="AP150" s="224">
        <f t="shared" si="43"/>
        <v>0</v>
      </c>
      <c r="AQ150" s="224">
        <f t="shared" si="43"/>
        <v>0</v>
      </c>
      <c r="AR150" s="224">
        <f t="shared" si="43"/>
        <v>0</v>
      </c>
      <c r="AS150" s="224">
        <f t="shared" si="43"/>
        <v>0</v>
      </c>
    </row>
    <row r="151" spans="2:45" hidden="1" outlineLevel="2">
      <c r="B151" s="9" t="str">
        <f>'Input - Option 2 Detailed Input'!$C$162</f>
        <v>Deadwood cleanout</v>
      </c>
      <c r="C151" s="44">
        <f>'Input - Option 2 Detailed Input'!H183</f>
        <v>0</v>
      </c>
      <c r="H151" s="343">
        <f t="shared" si="42"/>
        <v>0</v>
      </c>
      <c r="I151" s="211"/>
      <c r="J151" s="224">
        <f>-IF((J$3=$D$145),($C151)*J$4,)</f>
        <v>0</v>
      </c>
      <c r="K151" s="224">
        <f t="shared" si="43"/>
        <v>0</v>
      </c>
      <c r="L151" s="224">
        <f t="shared" si="43"/>
        <v>0</v>
      </c>
      <c r="M151" s="224">
        <f t="shared" si="43"/>
        <v>0</v>
      </c>
      <c r="N151" s="224">
        <f t="shared" si="43"/>
        <v>0</v>
      </c>
      <c r="O151" s="224">
        <f t="shared" si="43"/>
        <v>0</v>
      </c>
      <c r="P151" s="224">
        <f t="shared" si="43"/>
        <v>0</v>
      </c>
      <c r="Q151" s="224">
        <f t="shared" si="43"/>
        <v>0</v>
      </c>
      <c r="R151" s="224">
        <f t="shared" si="43"/>
        <v>0</v>
      </c>
      <c r="S151" s="224">
        <f t="shared" si="43"/>
        <v>0</v>
      </c>
      <c r="T151" s="224">
        <f t="shared" si="43"/>
        <v>0</v>
      </c>
      <c r="U151" s="224">
        <f t="shared" si="43"/>
        <v>0</v>
      </c>
      <c r="V151" s="224">
        <f t="shared" si="43"/>
        <v>0</v>
      </c>
      <c r="W151" s="224">
        <f t="shared" si="43"/>
        <v>0</v>
      </c>
      <c r="X151" s="224">
        <f t="shared" si="43"/>
        <v>0</v>
      </c>
      <c r="Y151" s="224">
        <f t="shared" si="43"/>
        <v>0</v>
      </c>
      <c r="Z151" s="224">
        <f t="shared" si="43"/>
        <v>0</v>
      </c>
      <c r="AA151" s="224">
        <f t="shared" si="43"/>
        <v>0</v>
      </c>
      <c r="AB151" s="224">
        <f t="shared" si="43"/>
        <v>0</v>
      </c>
      <c r="AC151" s="224">
        <f t="shared" si="43"/>
        <v>0</v>
      </c>
      <c r="AD151" s="224">
        <f t="shared" si="43"/>
        <v>0</v>
      </c>
      <c r="AE151" s="224">
        <f t="shared" si="43"/>
        <v>0</v>
      </c>
      <c r="AF151" s="224">
        <f t="shared" si="43"/>
        <v>0</v>
      </c>
      <c r="AG151" s="224">
        <f t="shared" si="43"/>
        <v>0</v>
      </c>
      <c r="AH151" s="224">
        <f t="shared" si="43"/>
        <v>0</v>
      </c>
      <c r="AI151" s="224">
        <f t="shared" si="43"/>
        <v>0</v>
      </c>
      <c r="AJ151" s="224">
        <f t="shared" si="43"/>
        <v>0</v>
      </c>
      <c r="AK151" s="224">
        <f t="shared" si="43"/>
        <v>0</v>
      </c>
      <c r="AL151" s="224">
        <f t="shared" si="43"/>
        <v>0</v>
      </c>
      <c r="AM151" s="224">
        <f t="shared" si="43"/>
        <v>0</v>
      </c>
      <c r="AN151" s="224">
        <f t="shared" si="43"/>
        <v>0</v>
      </c>
      <c r="AO151" s="224">
        <f t="shared" si="43"/>
        <v>0</v>
      </c>
      <c r="AP151" s="224">
        <f t="shared" si="43"/>
        <v>0</v>
      </c>
      <c r="AQ151" s="224">
        <f t="shared" si="43"/>
        <v>0</v>
      </c>
      <c r="AR151" s="224">
        <f t="shared" si="43"/>
        <v>0</v>
      </c>
      <c r="AS151" s="224">
        <f t="shared" si="43"/>
        <v>0</v>
      </c>
    </row>
    <row r="152" spans="2:45" hidden="1" outlineLevel="2">
      <c r="B152" s="9" t="str">
        <f>'Input - Option 2 Detailed Input'!$C$163</f>
        <v>Additional costs related for specialist pruning regimes</v>
      </c>
      <c r="C152" s="44">
        <f>'Input - Option 2 Detailed Input'!H184</f>
        <v>0</v>
      </c>
      <c r="H152" s="343">
        <f t="shared" si="42"/>
        <v>0</v>
      </c>
      <c r="I152" s="211"/>
      <c r="J152" s="224">
        <f t="shared" si="44"/>
        <v>0</v>
      </c>
      <c r="K152" s="224">
        <f>-IF((K$3=$D$145),($C152)*K$4,)</f>
        <v>0</v>
      </c>
      <c r="L152" s="224">
        <f t="shared" si="43"/>
        <v>0</v>
      </c>
      <c r="M152" s="224">
        <f t="shared" si="43"/>
        <v>0</v>
      </c>
      <c r="N152" s="224">
        <f t="shared" si="43"/>
        <v>0</v>
      </c>
      <c r="O152" s="224">
        <f t="shared" si="43"/>
        <v>0</v>
      </c>
      <c r="P152" s="224">
        <f t="shared" si="43"/>
        <v>0</v>
      </c>
      <c r="Q152" s="224">
        <f t="shared" si="43"/>
        <v>0</v>
      </c>
      <c r="R152" s="224">
        <f t="shared" si="43"/>
        <v>0</v>
      </c>
      <c r="S152" s="224">
        <f t="shared" si="43"/>
        <v>0</v>
      </c>
      <c r="T152" s="224">
        <f t="shared" si="43"/>
        <v>0</v>
      </c>
      <c r="U152" s="224">
        <f t="shared" si="43"/>
        <v>0</v>
      </c>
      <c r="V152" s="224">
        <f t="shared" si="43"/>
        <v>0</v>
      </c>
      <c r="W152" s="224">
        <f t="shared" si="43"/>
        <v>0</v>
      </c>
      <c r="X152" s="224">
        <f t="shared" si="43"/>
        <v>0</v>
      </c>
      <c r="Y152" s="224">
        <f t="shared" si="43"/>
        <v>0</v>
      </c>
      <c r="Z152" s="224">
        <f t="shared" si="43"/>
        <v>0</v>
      </c>
      <c r="AA152" s="224">
        <f t="shared" si="43"/>
        <v>0</v>
      </c>
      <c r="AB152" s="224">
        <f t="shared" si="43"/>
        <v>0</v>
      </c>
      <c r="AC152" s="224">
        <f t="shared" si="43"/>
        <v>0</v>
      </c>
      <c r="AD152" s="224">
        <f t="shared" si="43"/>
        <v>0</v>
      </c>
      <c r="AE152" s="224">
        <f t="shared" si="43"/>
        <v>0</v>
      </c>
      <c r="AF152" s="224">
        <f t="shared" si="43"/>
        <v>0</v>
      </c>
      <c r="AG152" s="224">
        <f t="shared" si="43"/>
        <v>0</v>
      </c>
      <c r="AH152" s="224">
        <f t="shared" si="43"/>
        <v>0</v>
      </c>
      <c r="AI152" s="224">
        <f t="shared" si="43"/>
        <v>0</v>
      </c>
      <c r="AJ152" s="224">
        <f t="shared" si="43"/>
        <v>0</v>
      </c>
      <c r="AK152" s="224">
        <f t="shared" si="43"/>
        <v>0</v>
      </c>
      <c r="AL152" s="224">
        <f t="shared" si="43"/>
        <v>0</v>
      </c>
      <c r="AM152" s="224">
        <f t="shared" si="43"/>
        <v>0</v>
      </c>
      <c r="AN152" s="224">
        <f t="shared" si="43"/>
        <v>0</v>
      </c>
      <c r="AO152" s="224">
        <f t="shared" si="43"/>
        <v>0</v>
      </c>
      <c r="AP152" s="224">
        <f t="shared" si="43"/>
        <v>0</v>
      </c>
      <c r="AQ152" s="224">
        <f t="shared" si="43"/>
        <v>0</v>
      </c>
      <c r="AR152" s="224">
        <f t="shared" si="43"/>
        <v>0</v>
      </c>
      <c r="AS152" s="224">
        <f t="shared" si="43"/>
        <v>0</v>
      </c>
    </row>
    <row r="153" spans="2:45" hidden="1" outlineLevel="2">
      <c r="B153" s="9" t="str">
        <f>'Input - Option 2 Detailed Input'!$C$164</f>
        <v>Weeding</v>
      </c>
      <c r="C153" s="44">
        <f>'Input - Option 2 Detailed Input'!H185</f>
        <v>0</v>
      </c>
      <c r="H153" s="343">
        <f t="shared" si="42"/>
        <v>0</v>
      </c>
      <c r="I153" s="211"/>
      <c r="J153" s="224">
        <f t="shared" si="44"/>
        <v>0</v>
      </c>
      <c r="K153" s="224">
        <f t="shared" si="43"/>
        <v>0</v>
      </c>
      <c r="L153" s="224">
        <f t="shared" si="43"/>
        <v>0</v>
      </c>
      <c r="M153" s="224">
        <f t="shared" si="43"/>
        <v>0</v>
      </c>
      <c r="N153" s="224">
        <f t="shared" si="43"/>
        <v>0</v>
      </c>
      <c r="O153" s="224">
        <f t="shared" si="43"/>
        <v>0</v>
      </c>
      <c r="P153" s="224">
        <f t="shared" si="43"/>
        <v>0</v>
      </c>
      <c r="Q153" s="224">
        <f t="shared" si="43"/>
        <v>0</v>
      </c>
      <c r="R153" s="224">
        <f t="shared" si="43"/>
        <v>0</v>
      </c>
      <c r="S153" s="224">
        <f t="shared" si="43"/>
        <v>0</v>
      </c>
      <c r="T153" s="224">
        <f t="shared" si="43"/>
        <v>0</v>
      </c>
      <c r="U153" s="224">
        <f t="shared" ref="U153:AJ155" si="45">-IF((U$3=$D$145),($C153)*U$4,)</f>
        <v>0</v>
      </c>
      <c r="V153" s="224">
        <f t="shared" si="45"/>
        <v>0</v>
      </c>
      <c r="W153" s="224">
        <f t="shared" si="45"/>
        <v>0</v>
      </c>
      <c r="X153" s="224">
        <f t="shared" si="45"/>
        <v>0</v>
      </c>
      <c r="Y153" s="224">
        <f t="shared" si="45"/>
        <v>0</v>
      </c>
      <c r="Z153" s="224">
        <f t="shared" si="45"/>
        <v>0</v>
      </c>
      <c r="AA153" s="224">
        <f t="shared" si="45"/>
        <v>0</v>
      </c>
      <c r="AB153" s="224">
        <f t="shared" si="45"/>
        <v>0</v>
      </c>
      <c r="AC153" s="224">
        <f t="shared" si="45"/>
        <v>0</v>
      </c>
      <c r="AD153" s="224">
        <f t="shared" si="45"/>
        <v>0</v>
      </c>
      <c r="AE153" s="224">
        <f t="shared" si="45"/>
        <v>0</v>
      </c>
      <c r="AF153" s="224">
        <f t="shared" si="45"/>
        <v>0</v>
      </c>
      <c r="AG153" s="224">
        <f t="shared" si="45"/>
        <v>0</v>
      </c>
      <c r="AH153" s="224">
        <f t="shared" si="45"/>
        <v>0</v>
      </c>
      <c r="AI153" s="224">
        <f t="shared" si="45"/>
        <v>0</v>
      </c>
      <c r="AJ153" s="224">
        <f t="shared" si="45"/>
        <v>0</v>
      </c>
      <c r="AK153" s="224">
        <f t="shared" ref="AK153:AS155" si="46">-IF((AK$3=$D$145),($C153)*AK$4,)</f>
        <v>0</v>
      </c>
      <c r="AL153" s="224">
        <f t="shared" si="46"/>
        <v>0</v>
      </c>
      <c r="AM153" s="224">
        <f t="shared" si="46"/>
        <v>0</v>
      </c>
      <c r="AN153" s="224">
        <f t="shared" si="46"/>
        <v>0</v>
      </c>
      <c r="AO153" s="224">
        <f t="shared" si="46"/>
        <v>0</v>
      </c>
      <c r="AP153" s="224">
        <f t="shared" si="46"/>
        <v>0</v>
      </c>
      <c r="AQ153" s="224">
        <f t="shared" si="46"/>
        <v>0</v>
      </c>
      <c r="AR153" s="224">
        <f t="shared" si="46"/>
        <v>0</v>
      </c>
      <c r="AS153" s="224">
        <f t="shared" si="46"/>
        <v>0</v>
      </c>
    </row>
    <row r="154" spans="2:45" hidden="1" outlineLevel="2">
      <c r="B154" s="9" t="str">
        <f>'Input - Option 2 Detailed Input'!$C$165</f>
        <v>Epicormic growth removal </v>
      </c>
      <c r="C154" s="44">
        <f>'Input - Option 2 Detailed Input'!H186</f>
        <v>0</v>
      </c>
      <c r="H154" s="343">
        <f t="shared" si="42"/>
        <v>0</v>
      </c>
      <c r="I154" s="211"/>
      <c r="J154" s="224">
        <f>-IF((J$3=$D$145),($C154)*J$4,)</f>
        <v>0</v>
      </c>
      <c r="K154" s="224">
        <f t="shared" si="44"/>
        <v>0</v>
      </c>
      <c r="L154" s="224">
        <f t="shared" si="44"/>
        <v>0</v>
      </c>
      <c r="M154" s="224">
        <f t="shared" si="44"/>
        <v>0</v>
      </c>
      <c r="N154" s="224">
        <f t="shared" si="44"/>
        <v>0</v>
      </c>
      <c r="O154" s="224">
        <f t="shared" si="44"/>
        <v>0</v>
      </c>
      <c r="P154" s="224">
        <f t="shared" si="44"/>
        <v>0</v>
      </c>
      <c r="Q154" s="224">
        <f t="shared" si="44"/>
        <v>0</v>
      </c>
      <c r="R154" s="224">
        <f t="shared" si="44"/>
        <v>0</v>
      </c>
      <c r="S154" s="224">
        <f t="shared" si="44"/>
        <v>0</v>
      </c>
      <c r="T154" s="224">
        <f t="shared" si="44"/>
        <v>0</v>
      </c>
      <c r="U154" s="224">
        <f t="shared" si="44"/>
        <v>0</v>
      </c>
      <c r="V154" s="224">
        <f t="shared" si="44"/>
        <v>0</v>
      </c>
      <c r="W154" s="224">
        <f t="shared" si="44"/>
        <v>0</v>
      </c>
      <c r="X154" s="224">
        <f t="shared" si="44"/>
        <v>0</v>
      </c>
      <c r="Y154" s="224">
        <f t="shared" si="44"/>
        <v>0</v>
      </c>
      <c r="Z154" s="224">
        <f t="shared" si="45"/>
        <v>0</v>
      </c>
      <c r="AA154" s="224">
        <f t="shared" si="45"/>
        <v>0</v>
      </c>
      <c r="AB154" s="224">
        <f t="shared" si="45"/>
        <v>0</v>
      </c>
      <c r="AC154" s="224">
        <f t="shared" si="45"/>
        <v>0</v>
      </c>
      <c r="AD154" s="224">
        <f t="shared" si="45"/>
        <v>0</v>
      </c>
      <c r="AE154" s="224">
        <f t="shared" si="45"/>
        <v>0</v>
      </c>
      <c r="AF154" s="224">
        <f t="shared" si="45"/>
        <v>0</v>
      </c>
      <c r="AG154" s="224">
        <f t="shared" si="45"/>
        <v>0</v>
      </c>
      <c r="AH154" s="224">
        <f t="shared" si="45"/>
        <v>0</v>
      </c>
      <c r="AI154" s="224">
        <f t="shared" si="45"/>
        <v>0</v>
      </c>
      <c r="AJ154" s="224">
        <f t="shared" si="45"/>
        <v>0</v>
      </c>
      <c r="AK154" s="224">
        <f t="shared" si="46"/>
        <v>0</v>
      </c>
      <c r="AL154" s="224">
        <f t="shared" si="46"/>
        <v>0</v>
      </c>
      <c r="AM154" s="224">
        <f t="shared" si="46"/>
        <v>0</v>
      </c>
      <c r="AN154" s="224">
        <f t="shared" si="46"/>
        <v>0</v>
      </c>
      <c r="AO154" s="224">
        <f t="shared" si="46"/>
        <v>0</v>
      </c>
      <c r="AP154" s="224">
        <f t="shared" si="46"/>
        <v>0</v>
      </c>
      <c r="AQ154" s="224">
        <f t="shared" si="46"/>
        <v>0</v>
      </c>
      <c r="AR154" s="224">
        <f t="shared" si="46"/>
        <v>0</v>
      </c>
      <c r="AS154" s="224">
        <f t="shared" si="46"/>
        <v>0</v>
      </c>
    </row>
    <row r="155" spans="2:45" hidden="1" outlineLevel="2">
      <c r="B155" s="9" t="str">
        <f>'Input - Option 2 Detailed Input'!$C$166</f>
        <v xml:space="preserve">Costs associated with standpipes </v>
      </c>
      <c r="C155" s="44">
        <f>'Input - Option 2 Detailed Input'!H187</f>
        <v>0</v>
      </c>
      <c r="H155" s="343">
        <f t="shared" si="42"/>
        <v>0</v>
      </c>
      <c r="I155" s="211"/>
      <c r="J155" s="224">
        <f t="shared" si="44"/>
        <v>0</v>
      </c>
      <c r="K155" s="224">
        <f t="shared" si="44"/>
        <v>0</v>
      </c>
      <c r="L155" s="224">
        <f t="shared" si="44"/>
        <v>0</v>
      </c>
      <c r="M155" s="224">
        <f t="shared" si="44"/>
        <v>0</v>
      </c>
      <c r="N155" s="224">
        <f t="shared" si="44"/>
        <v>0</v>
      </c>
      <c r="O155" s="224">
        <f t="shared" si="44"/>
        <v>0</v>
      </c>
      <c r="P155" s="224">
        <f t="shared" si="44"/>
        <v>0</v>
      </c>
      <c r="Q155" s="224">
        <f t="shared" si="44"/>
        <v>0</v>
      </c>
      <c r="R155" s="224">
        <f t="shared" si="44"/>
        <v>0</v>
      </c>
      <c r="S155" s="224">
        <f t="shared" si="44"/>
        <v>0</v>
      </c>
      <c r="T155" s="224">
        <f t="shared" si="44"/>
        <v>0</v>
      </c>
      <c r="U155" s="224">
        <f t="shared" si="44"/>
        <v>0</v>
      </c>
      <c r="V155" s="224">
        <f t="shared" si="44"/>
        <v>0</v>
      </c>
      <c r="W155" s="224">
        <f t="shared" si="44"/>
        <v>0</v>
      </c>
      <c r="X155" s="224">
        <f t="shared" si="44"/>
        <v>0</v>
      </c>
      <c r="Y155" s="224">
        <f t="shared" si="44"/>
        <v>0</v>
      </c>
      <c r="Z155" s="224">
        <f t="shared" si="45"/>
        <v>0</v>
      </c>
      <c r="AA155" s="224">
        <f t="shared" si="45"/>
        <v>0</v>
      </c>
      <c r="AB155" s="224">
        <f t="shared" si="45"/>
        <v>0</v>
      </c>
      <c r="AC155" s="224">
        <f t="shared" si="45"/>
        <v>0</v>
      </c>
      <c r="AD155" s="224">
        <f t="shared" si="45"/>
        <v>0</v>
      </c>
      <c r="AE155" s="224">
        <f t="shared" si="45"/>
        <v>0</v>
      </c>
      <c r="AF155" s="224">
        <f t="shared" si="45"/>
        <v>0</v>
      </c>
      <c r="AG155" s="224">
        <f t="shared" si="45"/>
        <v>0</v>
      </c>
      <c r="AH155" s="224">
        <f t="shared" si="45"/>
        <v>0</v>
      </c>
      <c r="AI155" s="224">
        <f t="shared" si="45"/>
        <v>0</v>
      </c>
      <c r="AJ155" s="224">
        <f t="shared" si="45"/>
        <v>0</v>
      </c>
      <c r="AK155" s="224">
        <f t="shared" si="46"/>
        <v>0</v>
      </c>
      <c r="AL155" s="224">
        <f t="shared" si="46"/>
        <v>0</v>
      </c>
      <c r="AM155" s="224">
        <f t="shared" si="46"/>
        <v>0</v>
      </c>
      <c r="AN155" s="224">
        <f t="shared" si="46"/>
        <v>0</v>
      </c>
      <c r="AO155" s="224">
        <f t="shared" si="46"/>
        <v>0</v>
      </c>
      <c r="AP155" s="224">
        <f t="shared" si="46"/>
        <v>0</v>
      </c>
      <c r="AQ155" s="224">
        <f t="shared" si="46"/>
        <v>0</v>
      </c>
      <c r="AR155" s="224">
        <f t="shared" si="46"/>
        <v>0</v>
      </c>
      <c r="AS155" s="224">
        <f t="shared" si="46"/>
        <v>0</v>
      </c>
    </row>
    <row r="156" spans="2:45" hidden="1" outlineLevel="2">
      <c r="H156" s="343"/>
      <c r="I156" s="213"/>
      <c r="J156" s="224"/>
      <c r="K156" s="224"/>
      <c r="L156" s="224"/>
      <c r="M156" s="224"/>
      <c r="N156" s="224"/>
      <c r="O156" s="224"/>
      <c r="P156" s="224"/>
      <c r="Q156" s="224"/>
      <c r="R156" s="224"/>
      <c r="S156" s="224"/>
      <c r="T156" s="224"/>
      <c r="U156" s="224"/>
      <c r="V156" s="224"/>
      <c r="W156" s="224"/>
      <c r="X156" s="224"/>
      <c r="Y156" s="224"/>
      <c r="Z156" s="224"/>
      <c r="AA156" s="224"/>
      <c r="AB156" s="224"/>
      <c r="AC156" s="224"/>
      <c r="AD156" s="224"/>
      <c r="AE156" s="224"/>
      <c r="AF156" s="224"/>
      <c r="AG156" s="224"/>
      <c r="AH156" s="224"/>
      <c r="AI156" s="224"/>
      <c r="AJ156" s="224"/>
      <c r="AK156" s="224"/>
      <c r="AL156" s="224"/>
      <c r="AM156" s="224"/>
      <c r="AN156" s="224"/>
      <c r="AO156" s="224"/>
      <c r="AP156" s="224"/>
      <c r="AQ156" s="224"/>
      <c r="AR156" s="224"/>
      <c r="AS156" s="224"/>
    </row>
    <row r="157" spans="2:45" hidden="1" outlineLevel="2">
      <c r="B157" s="103" t="str">
        <f>'Input - Option 2 Detailed Input'!C189</f>
        <v>Year 2 - Additional Costs</v>
      </c>
      <c r="C157" s="25" t="str">
        <f>'Input - Option 2 Detailed Input'!G189</f>
        <v>Total Costs (per visit)</v>
      </c>
      <c r="H157" s="343"/>
      <c r="I157" s="213"/>
      <c r="J157" s="224"/>
      <c r="K157" s="224"/>
      <c r="L157" s="224"/>
      <c r="M157" s="224"/>
      <c r="N157" s="224"/>
      <c r="O157" s="224"/>
      <c r="P157" s="224"/>
      <c r="Q157" s="224"/>
      <c r="R157" s="224"/>
      <c r="S157" s="224"/>
      <c r="T157" s="224"/>
      <c r="U157" s="224"/>
      <c r="V157" s="224"/>
      <c r="W157" s="224"/>
      <c r="X157" s="224"/>
      <c r="Y157" s="224"/>
      <c r="Z157" s="224"/>
      <c r="AA157" s="224"/>
      <c r="AB157" s="224"/>
      <c r="AC157" s="224"/>
      <c r="AD157" s="224"/>
      <c r="AE157" s="224"/>
      <c r="AF157" s="224"/>
      <c r="AG157" s="224"/>
      <c r="AH157" s="224"/>
      <c r="AI157" s="224"/>
      <c r="AJ157" s="224"/>
      <c r="AK157" s="224"/>
      <c r="AL157" s="224"/>
      <c r="AM157" s="224"/>
      <c r="AN157" s="224"/>
      <c r="AO157" s="224"/>
      <c r="AP157" s="224"/>
      <c r="AQ157" s="224"/>
      <c r="AR157" s="224"/>
      <c r="AS157" s="224"/>
    </row>
    <row r="158" spans="2:45" hidden="1" outlineLevel="2">
      <c r="B158" s="9" t="str">
        <f>'Input - Option 2 Detailed Input'!C190</f>
        <v xml:space="preserve">[Additional costs #1] </v>
      </c>
      <c r="C158" s="44">
        <f>'Input - Option 2 Detailed Input'!G190</f>
        <v>0</v>
      </c>
      <c r="H158" s="343">
        <f>SUM(J158:EJ158)</f>
        <v>0</v>
      </c>
      <c r="I158" s="211"/>
      <c r="J158" s="224">
        <f>-IF((J$3=$D$145),($C158)*J$4,)</f>
        <v>0</v>
      </c>
      <c r="K158" s="224">
        <f t="shared" ref="K158:AS162" si="47">-IF((K$3=$D$145),($C158)*K$4,)</f>
        <v>0</v>
      </c>
      <c r="L158" s="224">
        <f t="shared" si="47"/>
        <v>0</v>
      </c>
      <c r="M158" s="224">
        <f t="shared" si="47"/>
        <v>0</v>
      </c>
      <c r="N158" s="224">
        <f t="shared" si="47"/>
        <v>0</v>
      </c>
      <c r="O158" s="224">
        <f t="shared" si="47"/>
        <v>0</v>
      </c>
      <c r="P158" s="224">
        <f t="shared" si="47"/>
        <v>0</v>
      </c>
      <c r="Q158" s="224">
        <f t="shared" si="47"/>
        <v>0</v>
      </c>
      <c r="R158" s="224">
        <f t="shared" si="47"/>
        <v>0</v>
      </c>
      <c r="S158" s="224">
        <f t="shared" si="47"/>
        <v>0</v>
      </c>
      <c r="T158" s="224">
        <f t="shared" si="47"/>
        <v>0</v>
      </c>
      <c r="U158" s="224">
        <f t="shared" si="47"/>
        <v>0</v>
      </c>
      <c r="V158" s="224">
        <f t="shared" si="47"/>
        <v>0</v>
      </c>
      <c r="W158" s="224">
        <f t="shared" si="47"/>
        <v>0</v>
      </c>
      <c r="X158" s="224">
        <f t="shared" si="47"/>
        <v>0</v>
      </c>
      <c r="Y158" s="224">
        <f t="shared" si="47"/>
        <v>0</v>
      </c>
      <c r="Z158" s="224">
        <f t="shared" si="47"/>
        <v>0</v>
      </c>
      <c r="AA158" s="224">
        <f t="shared" si="47"/>
        <v>0</v>
      </c>
      <c r="AB158" s="224">
        <f t="shared" si="47"/>
        <v>0</v>
      </c>
      <c r="AC158" s="224">
        <f t="shared" si="47"/>
        <v>0</v>
      </c>
      <c r="AD158" s="224">
        <f t="shared" si="47"/>
        <v>0</v>
      </c>
      <c r="AE158" s="224">
        <f t="shared" si="47"/>
        <v>0</v>
      </c>
      <c r="AF158" s="224">
        <f t="shared" si="47"/>
        <v>0</v>
      </c>
      <c r="AG158" s="224">
        <f t="shared" si="47"/>
        <v>0</v>
      </c>
      <c r="AH158" s="224">
        <f t="shared" si="47"/>
        <v>0</v>
      </c>
      <c r="AI158" s="224">
        <f t="shared" si="47"/>
        <v>0</v>
      </c>
      <c r="AJ158" s="224">
        <f t="shared" si="47"/>
        <v>0</v>
      </c>
      <c r="AK158" s="224">
        <f t="shared" si="47"/>
        <v>0</v>
      </c>
      <c r="AL158" s="224">
        <f t="shared" si="47"/>
        <v>0</v>
      </c>
      <c r="AM158" s="224">
        <f t="shared" si="47"/>
        <v>0</v>
      </c>
      <c r="AN158" s="224">
        <f t="shared" si="47"/>
        <v>0</v>
      </c>
      <c r="AO158" s="224">
        <f t="shared" si="47"/>
        <v>0</v>
      </c>
      <c r="AP158" s="224">
        <f t="shared" si="47"/>
        <v>0</v>
      </c>
      <c r="AQ158" s="224">
        <f t="shared" si="47"/>
        <v>0</v>
      </c>
      <c r="AR158" s="224">
        <f t="shared" si="47"/>
        <v>0</v>
      </c>
      <c r="AS158" s="224">
        <f t="shared" si="47"/>
        <v>0</v>
      </c>
    </row>
    <row r="159" spans="2:45" hidden="1" outlineLevel="2">
      <c r="B159" s="9" t="str">
        <f>'Input - Option 2 Detailed Input'!C191</f>
        <v>[Additional costs #2]</v>
      </c>
      <c r="C159" s="44">
        <f>'Input - Option 2 Detailed Input'!G191</f>
        <v>0</v>
      </c>
      <c r="H159" s="343">
        <f>SUM(J159:EJ159)</f>
        <v>0</v>
      </c>
      <c r="I159" s="211"/>
      <c r="J159" s="224">
        <f t="shared" ref="J159:Y162" si="48">-IF((J$3=$D$145),($C159)*J$4,)</f>
        <v>0</v>
      </c>
      <c r="K159" s="224">
        <f t="shared" si="48"/>
        <v>0</v>
      </c>
      <c r="L159" s="224">
        <f t="shared" si="48"/>
        <v>0</v>
      </c>
      <c r="M159" s="224">
        <f t="shared" si="48"/>
        <v>0</v>
      </c>
      <c r="N159" s="224">
        <f t="shared" si="48"/>
        <v>0</v>
      </c>
      <c r="O159" s="224">
        <f t="shared" si="48"/>
        <v>0</v>
      </c>
      <c r="P159" s="224">
        <f t="shared" si="48"/>
        <v>0</v>
      </c>
      <c r="Q159" s="224">
        <f t="shared" si="48"/>
        <v>0</v>
      </c>
      <c r="R159" s="224">
        <f t="shared" si="48"/>
        <v>0</v>
      </c>
      <c r="S159" s="224">
        <f t="shared" si="48"/>
        <v>0</v>
      </c>
      <c r="T159" s="224">
        <f t="shared" si="48"/>
        <v>0</v>
      </c>
      <c r="U159" s="224">
        <f t="shared" si="48"/>
        <v>0</v>
      </c>
      <c r="V159" s="224">
        <f t="shared" si="48"/>
        <v>0</v>
      </c>
      <c r="W159" s="224">
        <f t="shared" si="48"/>
        <v>0</v>
      </c>
      <c r="X159" s="224">
        <f t="shared" si="48"/>
        <v>0</v>
      </c>
      <c r="Y159" s="224">
        <f t="shared" si="48"/>
        <v>0</v>
      </c>
      <c r="Z159" s="224">
        <f t="shared" si="47"/>
        <v>0</v>
      </c>
      <c r="AA159" s="224">
        <f t="shared" si="47"/>
        <v>0</v>
      </c>
      <c r="AB159" s="224">
        <f t="shared" si="47"/>
        <v>0</v>
      </c>
      <c r="AC159" s="224">
        <f t="shared" si="47"/>
        <v>0</v>
      </c>
      <c r="AD159" s="224">
        <f t="shared" si="47"/>
        <v>0</v>
      </c>
      <c r="AE159" s="224">
        <f t="shared" si="47"/>
        <v>0</v>
      </c>
      <c r="AF159" s="224">
        <f t="shared" si="47"/>
        <v>0</v>
      </c>
      <c r="AG159" s="224">
        <f t="shared" si="47"/>
        <v>0</v>
      </c>
      <c r="AH159" s="224">
        <f t="shared" si="47"/>
        <v>0</v>
      </c>
      <c r="AI159" s="224">
        <f t="shared" si="47"/>
        <v>0</v>
      </c>
      <c r="AJ159" s="224">
        <f t="shared" si="47"/>
        <v>0</v>
      </c>
      <c r="AK159" s="224">
        <f t="shared" si="47"/>
        <v>0</v>
      </c>
      <c r="AL159" s="224">
        <f t="shared" si="47"/>
        <v>0</v>
      </c>
      <c r="AM159" s="224">
        <f t="shared" si="47"/>
        <v>0</v>
      </c>
      <c r="AN159" s="224">
        <f t="shared" si="47"/>
        <v>0</v>
      </c>
      <c r="AO159" s="224">
        <f t="shared" si="47"/>
        <v>0</v>
      </c>
      <c r="AP159" s="224">
        <f t="shared" si="47"/>
        <v>0</v>
      </c>
      <c r="AQ159" s="224">
        <f t="shared" si="47"/>
        <v>0</v>
      </c>
      <c r="AR159" s="224">
        <f t="shared" si="47"/>
        <v>0</v>
      </c>
      <c r="AS159" s="224">
        <f t="shared" si="47"/>
        <v>0</v>
      </c>
    </row>
    <row r="160" spans="2:45" hidden="1" outlineLevel="2">
      <c r="B160" s="9" t="str">
        <f>'Input - Option 2 Detailed Input'!C192</f>
        <v xml:space="preserve">[Additional costs #3] </v>
      </c>
      <c r="C160" s="44">
        <f>'Input - Option 2 Detailed Input'!G192</f>
        <v>0</v>
      </c>
      <c r="H160" s="343">
        <f>SUM(J160:EJ160)</f>
        <v>0</v>
      </c>
      <c r="I160" s="211"/>
      <c r="J160" s="224">
        <f t="shared" si="48"/>
        <v>0</v>
      </c>
      <c r="K160" s="224">
        <f t="shared" si="47"/>
        <v>0</v>
      </c>
      <c r="L160" s="224">
        <f>-IF((L$3=$D$145),($C160)*L$4,)</f>
        <v>0</v>
      </c>
      <c r="M160" s="224">
        <f t="shared" si="47"/>
        <v>0</v>
      </c>
      <c r="N160" s="224">
        <f t="shared" si="47"/>
        <v>0</v>
      </c>
      <c r="O160" s="224">
        <f t="shared" si="47"/>
        <v>0</v>
      </c>
      <c r="P160" s="224">
        <f t="shared" si="47"/>
        <v>0</v>
      </c>
      <c r="Q160" s="224">
        <f t="shared" si="47"/>
        <v>0</v>
      </c>
      <c r="R160" s="224">
        <f t="shared" si="47"/>
        <v>0</v>
      </c>
      <c r="S160" s="224">
        <f t="shared" si="47"/>
        <v>0</v>
      </c>
      <c r="T160" s="224">
        <f t="shared" si="47"/>
        <v>0</v>
      </c>
      <c r="U160" s="224">
        <f t="shared" si="47"/>
        <v>0</v>
      </c>
      <c r="V160" s="224">
        <f t="shared" si="47"/>
        <v>0</v>
      </c>
      <c r="W160" s="224">
        <f t="shared" si="47"/>
        <v>0</v>
      </c>
      <c r="X160" s="224">
        <f t="shared" si="47"/>
        <v>0</v>
      </c>
      <c r="Y160" s="224">
        <f t="shared" si="47"/>
        <v>0</v>
      </c>
      <c r="Z160" s="224">
        <f t="shared" si="47"/>
        <v>0</v>
      </c>
      <c r="AA160" s="224">
        <f t="shared" si="47"/>
        <v>0</v>
      </c>
      <c r="AB160" s="224">
        <f t="shared" si="47"/>
        <v>0</v>
      </c>
      <c r="AC160" s="224">
        <f t="shared" si="47"/>
        <v>0</v>
      </c>
      <c r="AD160" s="224">
        <f t="shared" si="47"/>
        <v>0</v>
      </c>
      <c r="AE160" s="224">
        <f t="shared" si="47"/>
        <v>0</v>
      </c>
      <c r="AF160" s="224">
        <f t="shared" si="47"/>
        <v>0</v>
      </c>
      <c r="AG160" s="224">
        <f t="shared" si="47"/>
        <v>0</v>
      </c>
      <c r="AH160" s="224">
        <f t="shared" si="47"/>
        <v>0</v>
      </c>
      <c r="AI160" s="224">
        <f t="shared" si="47"/>
        <v>0</v>
      </c>
      <c r="AJ160" s="224">
        <f t="shared" si="47"/>
        <v>0</v>
      </c>
      <c r="AK160" s="224">
        <f t="shared" si="47"/>
        <v>0</v>
      </c>
      <c r="AL160" s="224">
        <f t="shared" si="47"/>
        <v>0</v>
      </c>
      <c r="AM160" s="224">
        <f t="shared" si="47"/>
        <v>0</v>
      </c>
      <c r="AN160" s="224">
        <f t="shared" si="47"/>
        <v>0</v>
      </c>
      <c r="AO160" s="224">
        <f t="shared" si="47"/>
        <v>0</v>
      </c>
      <c r="AP160" s="224">
        <f t="shared" si="47"/>
        <v>0</v>
      </c>
      <c r="AQ160" s="224">
        <f t="shared" si="47"/>
        <v>0</v>
      </c>
      <c r="AR160" s="224">
        <f t="shared" si="47"/>
        <v>0</v>
      </c>
      <c r="AS160" s="224">
        <f t="shared" si="47"/>
        <v>0</v>
      </c>
    </row>
    <row r="161" spans="1:45" hidden="1" outlineLevel="2">
      <c r="B161" s="9" t="str">
        <f>'Input - Option 2 Detailed Input'!C193</f>
        <v>[Additional costs #4]</v>
      </c>
      <c r="C161" s="44">
        <f>'Input - Option 2 Detailed Input'!G193</f>
        <v>0</v>
      </c>
      <c r="H161" s="343">
        <f>SUM(J161:EJ161)</f>
        <v>0</v>
      </c>
      <c r="I161" s="211"/>
      <c r="J161" s="224">
        <f t="shared" si="48"/>
        <v>0</v>
      </c>
      <c r="K161" s="224">
        <f t="shared" si="47"/>
        <v>0</v>
      </c>
      <c r="L161" s="224">
        <f t="shared" si="47"/>
        <v>0</v>
      </c>
      <c r="M161" s="224">
        <f t="shared" si="47"/>
        <v>0</v>
      </c>
      <c r="N161" s="224">
        <f t="shared" si="47"/>
        <v>0</v>
      </c>
      <c r="O161" s="224">
        <f t="shared" si="47"/>
        <v>0</v>
      </c>
      <c r="P161" s="224">
        <f t="shared" si="47"/>
        <v>0</v>
      </c>
      <c r="Q161" s="224">
        <f t="shared" si="47"/>
        <v>0</v>
      </c>
      <c r="R161" s="224">
        <f t="shared" si="47"/>
        <v>0</v>
      </c>
      <c r="S161" s="224">
        <f t="shared" si="47"/>
        <v>0</v>
      </c>
      <c r="T161" s="224">
        <f t="shared" si="47"/>
        <v>0</v>
      </c>
      <c r="U161" s="224">
        <f t="shared" si="47"/>
        <v>0</v>
      </c>
      <c r="V161" s="224">
        <f t="shared" si="47"/>
        <v>0</v>
      </c>
      <c r="W161" s="224">
        <f t="shared" si="47"/>
        <v>0</v>
      </c>
      <c r="X161" s="224">
        <f t="shared" si="47"/>
        <v>0</v>
      </c>
      <c r="Y161" s="224">
        <f t="shared" si="47"/>
        <v>0</v>
      </c>
      <c r="Z161" s="224">
        <f t="shared" si="47"/>
        <v>0</v>
      </c>
      <c r="AA161" s="224">
        <f t="shared" si="47"/>
        <v>0</v>
      </c>
      <c r="AB161" s="224">
        <f t="shared" si="47"/>
        <v>0</v>
      </c>
      <c r="AC161" s="224">
        <f t="shared" si="47"/>
        <v>0</v>
      </c>
      <c r="AD161" s="224">
        <f t="shared" si="47"/>
        <v>0</v>
      </c>
      <c r="AE161" s="224">
        <f t="shared" si="47"/>
        <v>0</v>
      </c>
      <c r="AF161" s="224">
        <f t="shared" si="47"/>
        <v>0</v>
      </c>
      <c r="AG161" s="224">
        <f t="shared" si="47"/>
        <v>0</v>
      </c>
      <c r="AH161" s="224">
        <f t="shared" si="47"/>
        <v>0</v>
      </c>
      <c r="AI161" s="224">
        <f t="shared" si="47"/>
        <v>0</v>
      </c>
      <c r="AJ161" s="224">
        <f t="shared" si="47"/>
        <v>0</v>
      </c>
      <c r="AK161" s="224">
        <f t="shared" si="47"/>
        <v>0</v>
      </c>
      <c r="AL161" s="224">
        <f t="shared" si="47"/>
        <v>0</v>
      </c>
      <c r="AM161" s="224">
        <f t="shared" si="47"/>
        <v>0</v>
      </c>
      <c r="AN161" s="224">
        <f t="shared" si="47"/>
        <v>0</v>
      </c>
      <c r="AO161" s="224">
        <f t="shared" si="47"/>
        <v>0</v>
      </c>
      <c r="AP161" s="224">
        <f t="shared" si="47"/>
        <v>0</v>
      </c>
      <c r="AQ161" s="224">
        <f t="shared" si="47"/>
        <v>0</v>
      </c>
      <c r="AR161" s="224">
        <f t="shared" si="47"/>
        <v>0</v>
      </c>
      <c r="AS161" s="224">
        <f t="shared" si="47"/>
        <v>0</v>
      </c>
    </row>
    <row r="162" spans="1:45" hidden="1" outlineLevel="2">
      <c r="B162" s="9" t="str">
        <f>'Input - Option 2 Detailed Input'!C194</f>
        <v xml:space="preserve">[Additional costs #5] </v>
      </c>
      <c r="C162" s="44">
        <f>'Input - Option 2 Detailed Input'!G194</f>
        <v>0</v>
      </c>
      <c r="H162" s="343">
        <f>SUM(J162:EJ162)</f>
        <v>0</v>
      </c>
      <c r="I162" s="211"/>
      <c r="J162" s="224">
        <f t="shared" si="48"/>
        <v>0</v>
      </c>
      <c r="K162" s="224">
        <f t="shared" si="47"/>
        <v>0</v>
      </c>
      <c r="L162" s="224">
        <f t="shared" si="47"/>
        <v>0</v>
      </c>
      <c r="M162" s="224">
        <f t="shared" si="47"/>
        <v>0</v>
      </c>
      <c r="N162" s="224">
        <f t="shared" si="47"/>
        <v>0</v>
      </c>
      <c r="O162" s="224">
        <f t="shared" si="47"/>
        <v>0</v>
      </c>
      <c r="P162" s="224">
        <f t="shared" si="47"/>
        <v>0</v>
      </c>
      <c r="Q162" s="224">
        <f t="shared" si="47"/>
        <v>0</v>
      </c>
      <c r="R162" s="224">
        <f t="shared" si="47"/>
        <v>0</v>
      </c>
      <c r="S162" s="224">
        <f t="shared" si="47"/>
        <v>0</v>
      </c>
      <c r="T162" s="224">
        <f t="shared" si="47"/>
        <v>0</v>
      </c>
      <c r="U162" s="224">
        <f t="shared" si="47"/>
        <v>0</v>
      </c>
      <c r="V162" s="224">
        <f t="shared" si="47"/>
        <v>0</v>
      </c>
      <c r="W162" s="224">
        <f t="shared" si="47"/>
        <v>0</v>
      </c>
      <c r="X162" s="224">
        <f t="shared" si="47"/>
        <v>0</v>
      </c>
      <c r="Y162" s="224">
        <f t="shared" si="47"/>
        <v>0</v>
      </c>
      <c r="Z162" s="224">
        <f t="shared" si="47"/>
        <v>0</v>
      </c>
      <c r="AA162" s="224">
        <f t="shared" si="47"/>
        <v>0</v>
      </c>
      <c r="AB162" s="224">
        <f t="shared" si="47"/>
        <v>0</v>
      </c>
      <c r="AC162" s="224">
        <f t="shared" si="47"/>
        <v>0</v>
      </c>
      <c r="AD162" s="224">
        <f t="shared" si="47"/>
        <v>0</v>
      </c>
      <c r="AE162" s="224">
        <f t="shared" si="47"/>
        <v>0</v>
      </c>
      <c r="AF162" s="224">
        <f t="shared" si="47"/>
        <v>0</v>
      </c>
      <c r="AG162" s="224">
        <f t="shared" si="47"/>
        <v>0</v>
      </c>
      <c r="AH162" s="224">
        <f t="shared" si="47"/>
        <v>0</v>
      </c>
      <c r="AI162" s="224">
        <f t="shared" si="47"/>
        <v>0</v>
      </c>
      <c r="AJ162" s="224">
        <f t="shared" si="47"/>
        <v>0</v>
      </c>
      <c r="AK162" s="224">
        <f t="shared" si="47"/>
        <v>0</v>
      </c>
      <c r="AL162" s="224">
        <f t="shared" si="47"/>
        <v>0</v>
      </c>
      <c r="AM162" s="224">
        <f t="shared" si="47"/>
        <v>0</v>
      </c>
      <c r="AN162" s="224">
        <f t="shared" si="47"/>
        <v>0</v>
      </c>
      <c r="AO162" s="224">
        <f t="shared" si="47"/>
        <v>0</v>
      </c>
      <c r="AP162" s="224">
        <f t="shared" si="47"/>
        <v>0</v>
      </c>
      <c r="AQ162" s="224">
        <f t="shared" si="47"/>
        <v>0</v>
      </c>
      <c r="AR162" s="224">
        <f t="shared" si="47"/>
        <v>0</v>
      </c>
      <c r="AS162" s="224">
        <f t="shared" si="47"/>
        <v>0</v>
      </c>
    </row>
    <row r="163" spans="1:45" hidden="1" outlineLevel="2">
      <c r="H163" s="35"/>
      <c r="I163" s="213"/>
      <c r="J163" s="224"/>
    </row>
    <row r="164" spans="1:45" hidden="1" outlineLevel="2">
      <c r="A164" s="15"/>
      <c r="B164" s="16" t="s">
        <v>311</v>
      </c>
      <c r="C164" s="12"/>
      <c r="D164" s="12"/>
      <c r="E164" s="12"/>
      <c r="F164" s="12"/>
      <c r="G164" s="12"/>
      <c r="H164" s="259">
        <f>SUM(H158:H162,H146:H155)</f>
        <v>0</v>
      </c>
      <c r="I164" s="215"/>
      <c r="J164" s="225">
        <f>SUM(J146:J155,J158:J162)</f>
        <v>0</v>
      </c>
      <c r="K164" s="225">
        <f>SUM(K146:K155,K158:K162)</f>
        <v>0</v>
      </c>
      <c r="L164" s="225">
        <f t="shared" ref="L164:AS164" si="49">SUM(L146:L155,L158:L162)</f>
        <v>0</v>
      </c>
      <c r="M164" s="225">
        <f t="shared" si="49"/>
        <v>0</v>
      </c>
      <c r="N164" s="225">
        <f t="shared" si="49"/>
        <v>0</v>
      </c>
      <c r="O164" s="225">
        <f t="shared" si="49"/>
        <v>0</v>
      </c>
      <c r="P164" s="225">
        <f t="shared" si="49"/>
        <v>0</v>
      </c>
      <c r="Q164" s="225">
        <f t="shared" si="49"/>
        <v>0</v>
      </c>
      <c r="R164" s="225">
        <f t="shared" si="49"/>
        <v>0</v>
      </c>
      <c r="S164" s="225">
        <f t="shared" si="49"/>
        <v>0</v>
      </c>
      <c r="T164" s="225">
        <f t="shared" si="49"/>
        <v>0</v>
      </c>
      <c r="U164" s="225">
        <f t="shared" si="49"/>
        <v>0</v>
      </c>
      <c r="V164" s="225">
        <f t="shared" si="49"/>
        <v>0</v>
      </c>
      <c r="W164" s="225">
        <f t="shared" si="49"/>
        <v>0</v>
      </c>
      <c r="X164" s="225">
        <f t="shared" si="49"/>
        <v>0</v>
      </c>
      <c r="Y164" s="225">
        <f t="shared" si="49"/>
        <v>0</v>
      </c>
      <c r="Z164" s="225">
        <f t="shared" si="49"/>
        <v>0</v>
      </c>
      <c r="AA164" s="225">
        <f t="shared" si="49"/>
        <v>0</v>
      </c>
      <c r="AB164" s="225">
        <f t="shared" si="49"/>
        <v>0</v>
      </c>
      <c r="AC164" s="225">
        <f t="shared" si="49"/>
        <v>0</v>
      </c>
      <c r="AD164" s="225">
        <f t="shared" si="49"/>
        <v>0</v>
      </c>
      <c r="AE164" s="225">
        <f t="shared" si="49"/>
        <v>0</v>
      </c>
      <c r="AF164" s="225">
        <f t="shared" si="49"/>
        <v>0</v>
      </c>
      <c r="AG164" s="225">
        <f t="shared" si="49"/>
        <v>0</v>
      </c>
      <c r="AH164" s="225">
        <f t="shared" si="49"/>
        <v>0</v>
      </c>
      <c r="AI164" s="225">
        <f t="shared" si="49"/>
        <v>0</v>
      </c>
      <c r="AJ164" s="225">
        <f t="shared" si="49"/>
        <v>0</v>
      </c>
      <c r="AK164" s="225">
        <f t="shared" si="49"/>
        <v>0</v>
      </c>
      <c r="AL164" s="225">
        <f t="shared" si="49"/>
        <v>0</v>
      </c>
      <c r="AM164" s="225">
        <f t="shared" si="49"/>
        <v>0</v>
      </c>
      <c r="AN164" s="225">
        <f t="shared" si="49"/>
        <v>0</v>
      </c>
      <c r="AO164" s="225">
        <f t="shared" si="49"/>
        <v>0</v>
      </c>
      <c r="AP164" s="225">
        <f t="shared" si="49"/>
        <v>0</v>
      </c>
      <c r="AQ164" s="225">
        <f t="shared" si="49"/>
        <v>0</v>
      </c>
      <c r="AR164" s="225">
        <f t="shared" si="49"/>
        <v>0</v>
      </c>
      <c r="AS164" s="225">
        <f t="shared" si="49"/>
        <v>0</v>
      </c>
    </row>
    <row r="165" spans="1:45" hidden="1" outlineLevel="2">
      <c r="H165" s="35"/>
      <c r="I165" s="213"/>
    </row>
    <row r="166" spans="1:45" hidden="1" outlineLevel="2">
      <c r="B166" s="103" t="str">
        <f>'Input - Option 2 Detailed Input'!C196</f>
        <v>Year 3 of establishment and maintenance</v>
      </c>
      <c r="C166" s="25" t="str">
        <f>'Input - Option 2 Detailed Input'!H197</f>
        <v>Total Costs (per visit)</v>
      </c>
      <c r="D166" s="39">
        <f>IF($C$3=$C$4,'Input - Option 2 Detailed Input'!D196,)</f>
        <v>0</v>
      </c>
      <c r="H166" s="35"/>
      <c r="I166" s="213"/>
    </row>
    <row r="167" spans="1:45" hidden="1" outlineLevel="2">
      <c r="B167" s="9" t="str">
        <f>'Input - Option 2 Detailed Input'!$C$156</f>
        <v>Recuring unitary maintenance visits (e.g. watering, mulching, etc.)</v>
      </c>
      <c r="C167" s="44">
        <f>'Input - Option 2 Detailed Input'!H198</f>
        <v>0</v>
      </c>
      <c r="H167" s="343">
        <f t="shared" ref="H167:H176" si="50">SUM(J167:EJ167)</f>
        <v>0</v>
      </c>
      <c r="I167" s="211"/>
      <c r="J167" s="224">
        <f>-IF((J$3=$D$166),($C167)*J$4,)</f>
        <v>0</v>
      </c>
      <c r="K167" s="224">
        <f t="shared" ref="K167:AS174" si="51">-IF((K$3=$D$166),($C167)*K$4,)</f>
        <v>0</v>
      </c>
      <c r="L167" s="224">
        <f t="shared" si="51"/>
        <v>0</v>
      </c>
      <c r="M167" s="224">
        <f t="shared" si="51"/>
        <v>0</v>
      </c>
      <c r="N167" s="224">
        <f t="shared" si="51"/>
        <v>0</v>
      </c>
      <c r="O167" s="224">
        <f t="shared" si="51"/>
        <v>0</v>
      </c>
      <c r="P167" s="224">
        <f t="shared" si="51"/>
        <v>0</v>
      </c>
      <c r="Q167" s="224">
        <f t="shared" si="51"/>
        <v>0</v>
      </c>
      <c r="R167" s="224">
        <f t="shared" si="51"/>
        <v>0</v>
      </c>
      <c r="S167" s="224">
        <f t="shared" si="51"/>
        <v>0</v>
      </c>
      <c r="T167" s="224">
        <f t="shared" si="51"/>
        <v>0</v>
      </c>
      <c r="U167" s="224">
        <f t="shared" si="51"/>
        <v>0</v>
      </c>
      <c r="V167" s="224">
        <f t="shared" si="51"/>
        <v>0</v>
      </c>
      <c r="W167" s="224">
        <f t="shared" si="51"/>
        <v>0</v>
      </c>
      <c r="X167" s="224">
        <f t="shared" si="51"/>
        <v>0</v>
      </c>
      <c r="Y167" s="224">
        <f t="shared" si="51"/>
        <v>0</v>
      </c>
      <c r="Z167" s="224">
        <f t="shared" si="51"/>
        <v>0</v>
      </c>
      <c r="AA167" s="224">
        <f t="shared" si="51"/>
        <v>0</v>
      </c>
      <c r="AB167" s="224">
        <f t="shared" si="51"/>
        <v>0</v>
      </c>
      <c r="AC167" s="224">
        <f t="shared" si="51"/>
        <v>0</v>
      </c>
      <c r="AD167" s="224">
        <f t="shared" si="51"/>
        <v>0</v>
      </c>
      <c r="AE167" s="224">
        <f t="shared" si="51"/>
        <v>0</v>
      </c>
      <c r="AF167" s="224">
        <f t="shared" si="51"/>
        <v>0</v>
      </c>
      <c r="AG167" s="224">
        <f t="shared" si="51"/>
        <v>0</v>
      </c>
      <c r="AH167" s="224">
        <f t="shared" si="51"/>
        <v>0</v>
      </c>
      <c r="AI167" s="224">
        <f t="shared" si="51"/>
        <v>0</v>
      </c>
      <c r="AJ167" s="224">
        <f t="shared" si="51"/>
        <v>0</v>
      </c>
      <c r="AK167" s="224">
        <f t="shared" si="51"/>
        <v>0</v>
      </c>
      <c r="AL167" s="224">
        <f t="shared" si="51"/>
        <v>0</v>
      </c>
      <c r="AM167" s="224">
        <f t="shared" si="51"/>
        <v>0</v>
      </c>
      <c r="AN167" s="224">
        <f t="shared" si="51"/>
        <v>0</v>
      </c>
      <c r="AO167" s="224">
        <f t="shared" si="51"/>
        <v>0</v>
      </c>
      <c r="AP167" s="224">
        <f t="shared" si="51"/>
        <v>0</v>
      </c>
      <c r="AQ167" s="224">
        <f t="shared" si="51"/>
        <v>0</v>
      </c>
      <c r="AR167" s="224">
        <f t="shared" si="51"/>
        <v>0</v>
      </c>
      <c r="AS167" s="224">
        <f t="shared" si="51"/>
        <v>0</v>
      </c>
    </row>
    <row r="168" spans="1:45" hidden="1" outlineLevel="2">
      <c r="B168" s="9" t="str">
        <f>'Input - Option 2 Detailed Input'!$C$158</f>
        <v>Establishment checks (including collection, collation, interpretation and sharing of consistent tree establishment data )</v>
      </c>
      <c r="C168" s="44">
        <f>'Input - Option 2 Detailed Input'!H200</f>
        <v>0</v>
      </c>
      <c r="H168" s="343">
        <f t="shared" si="50"/>
        <v>0</v>
      </c>
      <c r="I168" s="211"/>
      <c r="J168" s="224">
        <f t="shared" ref="J168:Y176" si="52">-IF((J$3=$D$166),($C168)*J$4,)</f>
        <v>0</v>
      </c>
      <c r="K168" s="224">
        <f t="shared" si="52"/>
        <v>0</v>
      </c>
      <c r="L168" s="224">
        <f t="shared" si="52"/>
        <v>0</v>
      </c>
      <c r="M168" s="224">
        <f t="shared" si="52"/>
        <v>0</v>
      </c>
      <c r="N168" s="224">
        <f t="shared" si="52"/>
        <v>0</v>
      </c>
      <c r="O168" s="224">
        <f t="shared" si="52"/>
        <v>0</v>
      </c>
      <c r="P168" s="224">
        <f t="shared" si="52"/>
        <v>0</v>
      </c>
      <c r="Q168" s="224">
        <f t="shared" si="52"/>
        <v>0</v>
      </c>
      <c r="R168" s="224">
        <f t="shared" si="52"/>
        <v>0</v>
      </c>
      <c r="S168" s="224">
        <f t="shared" si="52"/>
        <v>0</v>
      </c>
      <c r="T168" s="224">
        <f t="shared" si="52"/>
        <v>0</v>
      </c>
      <c r="U168" s="224">
        <f t="shared" si="52"/>
        <v>0</v>
      </c>
      <c r="V168" s="224">
        <f t="shared" si="52"/>
        <v>0</v>
      </c>
      <c r="W168" s="224">
        <f t="shared" si="52"/>
        <v>0</v>
      </c>
      <c r="X168" s="224">
        <f t="shared" si="52"/>
        <v>0</v>
      </c>
      <c r="Y168" s="224">
        <f t="shared" si="52"/>
        <v>0</v>
      </c>
      <c r="Z168" s="224">
        <f t="shared" si="51"/>
        <v>0</v>
      </c>
      <c r="AA168" s="224">
        <f t="shared" si="51"/>
        <v>0</v>
      </c>
      <c r="AB168" s="224">
        <f t="shared" si="51"/>
        <v>0</v>
      </c>
      <c r="AC168" s="224">
        <f t="shared" si="51"/>
        <v>0</v>
      </c>
      <c r="AD168" s="224">
        <f t="shared" si="51"/>
        <v>0</v>
      </c>
      <c r="AE168" s="224">
        <f t="shared" si="51"/>
        <v>0</v>
      </c>
      <c r="AF168" s="224">
        <f t="shared" si="51"/>
        <v>0</v>
      </c>
      <c r="AG168" s="224">
        <f t="shared" si="51"/>
        <v>0</v>
      </c>
      <c r="AH168" s="224">
        <f t="shared" si="51"/>
        <v>0</v>
      </c>
      <c r="AI168" s="224">
        <f t="shared" si="51"/>
        <v>0</v>
      </c>
      <c r="AJ168" s="224">
        <f t="shared" si="51"/>
        <v>0</v>
      </c>
      <c r="AK168" s="224">
        <f t="shared" si="51"/>
        <v>0</v>
      </c>
      <c r="AL168" s="224">
        <f t="shared" si="51"/>
        <v>0</v>
      </c>
      <c r="AM168" s="224">
        <f t="shared" si="51"/>
        <v>0</v>
      </c>
      <c r="AN168" s="224">
        <f t="shared" si="51"/>
        <v>0</v>
      </c>
      <c r="AO168" s="224">
        <f t="shared" si="51"/>
        <v>0</v>
      </c>
      <c r="AP168" s="224">
        <f t="shared" si="51"/>
        <v>0</v>
      </c>
      <c r="AQ168" s="224">
        <f t="shared" si="51"/>
        <v>0</v>
      </c>
      <c r="AR168" s="224">
        <f t="shared" si="51"/>
        <v>0</v>
      </c>
      <c r="AS168" s="224">
        <f t="shared" si="51"/>
        <v>0</v>
      </c>
    </row>
    <row r="169" spans="1:45" hidden="1" outlineLevel="2">
      <c r="B169" s="9" t="str">
        <f>'Input - Option 2 Detailed Input'!$C$159</f>
        <v>Maintenance, removal and/or disposal of (where relevant) stakes, ties, and guard, grills, concrete rings, base surrounds, tree protection, etc.</v>
      </c>
      <c r="C169" s="44">
        <f>'Input - Option 2 Detailed Input'!H201</f>
        <v>0</v>
      </c>
      <c r="H169" s="343">
        <f t="shared" si="50"/>
        <v>0</v>
      </c>
      <c r="I169" s="211"/>
      <c r="J169" s="224">
        <f t="shared" si="52"/>
        <v>0</v>
      </c>
      <c r="K169" s="224">
        <f t="shared" si="51"/>
        <v>0</v>
      </c>
      <c r="L169" s="224">
        <f t="shared" si="51"/>
        <v>0</v>
      </c>
      <c r="M169" s="224">
        <f t="shared" si="51"/>
        <v>0</v>
      </c>
      <c r="N169" s="224">
        <f t="shared" si="51"/>
        <v>0</v>
      </c>
      <c r="O169" s="224">
        <f t="shared" si="51"/>
        <v>0</v>
      </c>
      <c r="P169" s="224">
        <f t="shared" si="51"/>
        <v>0</v>
      </c>
      <c r="Q169" s="224">
        <f t="shared" si="51"/>
        <v>0</v>
      </c>
      <c r="R169" s="224">
        <f t="shared" si="51"/>
        <v>0</v>
      </c>
      <c r="S169" s="224">
        <f t="shared" si="51"/>
        <v>0</v>
      </c>
      <c r="T169" s="224">
        <f t="shared" si="51"/>
        <v>0</v>
      </c>
      <c r="U169" s="224">
        <f t="shared" si="51"/>
        <v>0</v>
      </c>
      <c r="V169" s="224">
        <f t="shared" si="51"/>
        <v>0</v>
      </c>
      <c r="W169" s="224">
        <f t="shared" si="51"/>
        <v>0</v>
      </c>
      <c r="X169" s="224">
        <f t="shared" si="51"/>
        <v>0</v>
      </c>
      <c r="Y169" s="224">
        <f t="shared" si="51"/>
        <v>0</v>
      </c>
      <c r="Z169" s="224">
        <f t="shared" si="51"/>
        <v>0</v>
      </c>
      <c r="AA169" s="224">
        <f t="shared" si="51"/>
        <v>0</v>
      </c>
      <c r="AB169" s="224">
        <f t="shared" si="51"/>
        <v>0</v>
      </c>
      <c r="AC169" s="224">
        <f t="shared" si="51"/>
        <v>0</v>
      </c>
      <c r="AD169" s="224">
        <f t="shared" si="51"/>
        <v>0</v>
      </c>
      <c r="AE169" s="224">
        <f t="shared" si="51"/>
        <v>0</v>
      </c>
      <c r="AF169" s="224">
        <f t="shared" si="51"/>
        <v>0</v>
      </c>
      <c r="AG169" s="224">
        <f t="shared" si="51"/>
        <v>0</v>
      </c>
      <c r="AH169" s="224">
        <f t="shared" si="51"/>
        <v>0</v>
      </c>
      <c r="AI169" s="224">
        <f t="shared" si="51"/>
        <v>0</v>
      </c>
      <c r="AJ169" s="224">
        <f t="shared" si="51"/>
        <v>0</v>
      </c>
      <c r="AK169" s="224">
        <f t="shared" si="51"/>
        <v>0</v>
      </c>
      <c r="AL169" s="224">
        <f t="shared" si="51"/>
        <v>0</v>
      </c>
      <c r="AM169" s="224">
        <f t="shared" si="51"/>
        <v>0</v>
      </c>
      <c r="AN169" s="224">
        <f t="shared" si="51"/>
        <v>0</v>
      </c>
      <c r="AO169" s="224">
        <f t="shared" si="51"/>
        <v>0</v>
      </c>
      <c r="AP169" s="224">
        <f t="shared" si="51"/>
        <v>0</v>
      </c>
      <c r="AQ169" s="224">
        <f t="shared" si="51"/>
        <v>0</v>
      </c>
      <c r="AR169" s="224">
        <f t="shared" si="51"/>
        <v>0</v>
      </c>
      <c r="AS169" s="224">
        <f t="shared" si="51"/>
        <v>0</v>
      </c>
    </row>
    <row r="170" spans="1:45" hidden="1" outlineLevel="2">
      <c r="B170" s="9" t="str">
        <f>'Input - Option 2 Detailed Input'!$C$160</f>
        <v xml:space="preserve">Safety inspection cost </v>
      </c>
      <c r="C170" s="44">
        <f>'Input - Option 2 Detailed Input'!H202</f>
        <v>0</v>
      </c>
      <c r="H170" s="343">
        <f t="shared" si="50"/>
        <v>0</v>
      </c>
      <c r="I170" s="211"/>
      <c r="J170" s="224">
        <f t="shared" si="52"/>
        <v>0</v>
      </c>
      <c r="K170" s="224">
        <f t="shared" si="51"/>
        <v>0</v>
      </c>
      <c r="L170" s="224">
        <f t="shared" si="51"/>
        <v>0</v>
      </c>
      <c r="M170" s="224">
        <f t="shared" si="51"/>
        <v>0</v>
      </c>
      <c r="N170" s="224">
        <f t="shared" si="51"/>
        <v>0</v>
      </c>
      <c r="O170" s="224">
        <f t="shared" si="51"/>
        <v>0</v>
      </c>
      <c r="P170" s="224">
        <f t="shared" si="51"/>
        <v>0</v>
      </c>
      <c r="Q170" s="224">
        <f t="shared" si="51"/>
        <v>0</v>
      </c>
      <c r="R170" s="224">
        <f t="shared" si="51"/>
        <v>0</v>
      </c>
      <c r="S170" s="224">
        <f t="shared" si="51"/>
        <v>0</v>
      </c>
      <c r="T170" s="224">
        <f t="shared" si="51"/>
        <v>0</v>
      </c>
      <c r="U170" s="224">
        <f t="shared" si="51"/>
        <v>0</v>
      </c>
      <c r="V170" s="224">
        <f t="shared" si="51"/>
        <v>0</v>
      </c>
      <c r="W170" s="224">
        <f t="shared" si="51"/>
        <v>0</v>
      </c>
      <c r="X170" s="224">
        <f t="shared" si="51"/>
        <v>0</v>
      </c>
      <c r="Y170" s="224">
        <f t="shared" si="51"/>
        <v>0</v>
      </c>
      <c r="Z170" s="224">
        <f t="shared" si="51"/>
        <v>0</v>
      </c>
      <c r="AA170" s="224">
        <f t="shared" si="51"/>
        <v>0</v>
      </c>
      <c r="AB170" s="224">
        <f t="shared" si="51"/>
        <v>0</v>
      </c>
      <c r="AC170" s="224">
        <f t="shared" si="51"/>
        <v>0</v>
      </c>
      <c r="AD170" s="224">
        <f t="shared" si="51"/>
        <v>0</v>
      </c>
      <c r="AE170" s="224">
        <f t="shared" si="51"/>
        <v>0</v>
      </c>
      <c r="AF170" s="224">
        <f t="shared" si="51"/>
        <v>0</v>
      </c>
      <c r="AG170" s="224">
        <f t="shared" si="51"/>
        <v>0</v>
      </c>
      <c r="AH170" s="224">
        <f t="shared" si="51"/>
        <v>0</v>
      </c>
      <c r="AI170" s="224">
        <f t="shared" si="51"/>
        <v>0</v>
      </c>
      <c r="AJ170" s="224">
        <f t="shared" si="51"/>
        <v>0</v>
      </c>
      <c r="AK170" s="224">
        <f t="shared" si="51"/>
        <v>0</v>
      </c>
      <c r="AL170" s="224">
        <f t="shared" si="51"/>
        <v>0</v>
      </c>
      <c r="AM170" s="224">
        <f t="shared" si="51"/>
        <v>0</v>
      </c>
      <c r="AN170" s="224">
        <f t="shared" si="51"/>
        <v>0</v>
      </c>
      <c r="AO170" s="224">
        <f t="shared" si="51"/>
        <v>0</v>
      </c>
      <c r="AP170" s="224">
        <f t="shared" si="51"/>
        <v>0</v>
      </c>
      <c r="AQ170" s="224">
        <f t="shared" si="51"/>
        <v>0</v>
      </c>
      <c r="AR170" s="224">
        <f t="shared" si="51"/>
        <v>0</v>
      </c>
      <c r="AS170" s="224">
        <f t="shared" si="51"/>
        <v>0</v>
      </c>
    </row>
    <row r="171" spans="1:45" hidden="1" outlineLevel="2">
      <c r="B171" s="9" t="str">
        <f>'Input - Option 2 Detailed Input'!$C$161</f>
        <v xml:space="preserve">Crown lifting </v>
      </c>
      <c r="C171" s="44">
        <f>'Input - Option 2 Detailed Input'!H203</f>
        <v>0</v>
      </c>
      <c r="H171" s="343">
        <f t="shared" si="50"/>
        <v>0</v>
      </c>
      <c r="I171" s="211"/>
      <c r="J171" s="224">
        <f t="shared" si="52"/>
        <v>0</v>
      </c>
      <c r="K171" s="224">
        <f t="shared" si="51"/>
        <v>0</v>
      </c>
      <c r="L171" s="224">
        <f t="shared" si="51"/>
        <v>0</v>
      </c>
      <c r="M171" s="224">
        <f t="shared" si="51"/>
        <v>0</v>
      </c>
      <c r="N171" s="224">
        <f t="shared" si="51"/>
        <v>0</v>
      </c>
      <c r="O171" s="224">
        <f t="shared" si="51"/>
        <v>0</v>
      </c>
      <c r="P171" s="224">
        <f t="shared" si="51"/>
        <v>0</v>
      </c>
      <c r="Q171" s="224">
        <f t="shared" si="51"/>
        <v>0</v>
      </c>
      <c r="R171" s="224">
        <f t="shared" si="51"/>
        <v>0</v>
      </c>
      <c r="S171" s="224">
        <f t="shared" si="51"/>
        <v>0</v>
      </c>
      <c r="T171" s="224">
        <f t="shared" si="51"/>
        <v>0</v>
      </c>
      <c r="U171" s="224">
        <f t="shared" si="51"/>
        <v>0</v>
      </c>
      <c r="V171" s="224">
        <f t="shared" si="51"/>
        <v>0</v>
      </c>
      <c r="W171" s="224">
        <f t="shared" si="51"/>
        <v>0</v>
      </c>
      <c r="X171" s="224">
        <f t="shared" si="51"/>
        <v>0</v>
      </c>
      <c r="Y171" s="224">
        <f t="shared" si="51"/>
        <v>0</v>
      </c>
      <c r="Z171" s="224">
        <f t="shared" si="51"/>
        <v>0</v>
      </c>
      <c r="AA171" s="224">
        <f t="shared" si="51"/>
        <v>0</v>
      </c>
      <c r="AB171" s="224">
        <f t="shared" si="51"/>
        <v>0</v>
      </c>
      <c r="AC171" s="224">
        <f t="shared" si="51"/>
        <v>0</v>
      </c>
      <c r="AD171" s="224">
        <f t="shared" si="51"/>
        <v>0</v>
      </c>
      <c r="AE171" s="224">
        <f t="shared" si="51"/>
        <v>0</v>
      </c>
      <c r="AF171" s="224">
        <f t="shared" si="51"/>
        <v>0</v>
      </c>
      <c r="AG171" s="224">
        <f t="shared" si="51"/>
        <v>0</v>
      </c>
      <c r="AH171" s="224">
        <f t="shared" si="51"/>
        <v>0</v>
      </c>
      <c r="AI171" s="224">
        <f t="shared" si="51"/>
        <v>0</v>
      </c>
      <c r="AJ171" s="224">
        <f t="shared" si="51"/>
        <v>0</v>
      </c>
      <c r="AK171" s="224">
        <f t="shared" si="51"/>
        <v>0</v>
      </c>
      <c r="AL171" s="224">
        <f t="shared" si="51"/>
        <v>0</v>
      </c>
      <c r="AM171" s="224">
        <f t="shared" si="51"/>
        <v>0</v>
      </c>
      <c r="AN171" s="224">
        <f t="shared" si="51"/>
        <v>0</v>
      </c>
      <c r="AO171" s="224">
        <f t="shared" si="51"/>
        <v>0</v>
      </c>
      <c r="AP171" s="224">
        <f t="shared" si="51"/>
        <v>0</v>
      </c>
      <c r="AQ171" s="224">
        <f t="shared" si="51"/>
        <v>0</v>
      </c>
      <c r="AR171" s="224">
        <f t="shared" si="51"/>
        <v>0</v>
      </c>
      <c r="AS171" s="224">
        <f t="shared" si="51"/>
        <v>0</v>
      </c>
    </row>
    <row r="172" spans="1:45" hidden="1" outlineLevel="2">
      <c r="B172" s="9" t="str">
        <f>'Input - Option 2 Detailed Input'!$C$162</f>
        <v>Deadwood cleanout</v>
      </c>
      <c r="C172" s="44">
        <f>'Input - Option 2 Detailed Input'!H204</f>
        <v>0</v>
      </c>
      <c r="H172" s="343">
        <f t="shared" si="50"/>
        <v>0</v>
      </c>
      <c r="I172" s="211"/>
      <c r="J172" s="224">
        <f t="shared" si="52"/>
        <v>0</v>
      </c>
      <c r="K172" s="224">
        <f t="shared" si="51"/>
        <v>0</v>
      </c>
      <c r="L172" s="224">
        <f t="shared" si="51"/>
        <v>0</v>
      </c>
      <c r="M172" s="224">
        <f t="shared" si="51"/>
        <v>0</v>
      </c>
      <c r="N172" s="224">
        <f t="shared" si="51"/>
        <v>0</v>
      </c>
      <c r="O172" s="224">
        <f t="shared" si="51"/>
        <v>0</v>
      </c>
      <c r="P172" s="224">
        <f t="shared" si="51"/>
        <v>0</v>
      </c>
      <c r="Q172" s="224">
        <f t="shared" si="51"/>
        <v>0</v>
      </c>
      <c r="R172" s="224">
        <f t="shared" si="51"/>
        <v>0</v>
      </c>
      <c r="S172" s="224">
        <f t="shared" si="51"/>
        <v>0</v>
      </c>
      <c r="T172" s="224">
        <f t="shared" si="51"/>
        <v>0</v>
      </c>
      <c r="U172" s="224">
        <f t="shared" si="51"/>
        <v>0</v>
      </c>
      <c r="V172" s="224">
        <f t="shared" si="51"/>
        <v>0</v>
      </c>
      <c r="W172" s="224">
        <f t="shared" si="51"/>
        <v>0</v>
      </c>
      <c r="X172" s="224">
        <f t="shared" si="51"/>
        <v>0</v>
      </c>
      <c r="Y172" s="224">
        <f t="shared" si="51"/>
        <v>0</v>
      </c>
      <c r="Z172" s="224">
        <f t="shared" si="51"/>
        <v>0</v>
      </c>
      <c r="AA172" s="224">
        <f t="shared" si="51"/>
        <v>0</v>
      </c>
      <c r="AB172" s="224">
        <f t="shared" si="51"/>
        <v>0</v>
      </c>
      <c r="AC172" s="224">
        <f t="shared" si="51"/>
        <v>0</v>
      </c>
      <c r="AD172" s="224">
        <f t="shared" si="51"/>
        <v>0</v>
      </c>
      <c r="AE172" s="224">
        <f t="shared" si="51"/>
        <v>0</v>
      </c>
      <c r="AF172" s="224">
        <f t="shared" si="51"/>
        <v>0</v>
      </c>
      <c r="AG172" s="224">
        <f t="shared" si="51"/>
        <v>0</v>
      </c>
      <c r="AH172" s="224">
        <f t="shared" si="51"/>
        <v>0</v>
      </c>
      <c r="AI172" s="224">
        <f t="shared" si="51"/>
        <v>0</v>
      </c>
      <c r="AJ172" s="224">
        <f t="shared" si="51"/>
        <v>0</v>
      </c>
      <c r="AK172" s="224">
        <f t="shared" si="51"/>
        <v>0</v>
      </c>
      <c r="AL172" s="224">
        <f t="shared" si="51"/>
        <v>0</v>
      </c>
      <c r="AM172" s="224">
        <f t="shared" si="51"/>
        <v>0</v>
      </c>
      <c r="AN172" s="224">
        <f t="shared" si="51"/>
        <v>0</v>
      </c>
      <c r="AO172" s="224">
        <f t="shared" si="51"/>
        <v>0</v>
      </c>
      <c r="AP172" s="224">
        <f t="shared" si="51"/>
        <v>0</v>
      </c>
      <c r="AQ172" s="224">
        <f t="shared" si="51"/>
        <v>0</v>
      </c>
      <c r="AR172" s="224">
        <f t="shared" si="51"/>
        <v>0</v>
      </c>
      <c r="AS172" s="224">
        <f t="shared" si="51"/>
        <v>0</v>
      </c>
    </row>
    <row r="173" spans="1:45" hidden="1" outlineLevel="2">
      <c r="B173" s="9" t="str">
        <f>'Input - Option 2 Detailed Input'!$C$163</f>
        <v>Additional costs related for specialist pruning regimes</v>
      </c>
      <c r="C173" s="44">
        <f>'Input - Option 2 Detailed Input'!H205</f>
        <v>0</v>
      </c>
      <c r="H173" s="343">
        <f t="shared" si="50"/>
        <v>0</v>
      </c>
      <c r="I173" s="211"/>
      <c r="J173" s="224">
        <f t="shared" si="52"/>
        <v>0</v>
      </c>
      <c r="K173" s="224">
        <f t="shared" si="51"/>
        <v>0</v>
      </c>
      <c r="L173" s="224">
        <f t="shared" si="51"/>
        <v>0</v>
      </c>
      <c r="M173" s="224">
        <f t="shared" si="51"/>
        <v>0</v>
      </c>
      <c r="N173" s="224">
        <f t="shared" si="51"/>
        <v>0</v>
      </c>
      <c r="O173" s="224">
        <f t="shared" si="51"/>
        <v>0</v>
      </c>
      <c r="P173" s="224">
        <f t="shared" si="51"/>
        <v>0</v>
      </c>
      <c r="Q173" s="224">
        <f t="shared" si="51"/>
        <v>0</v>
      </c>
      <c r="R173" s="224">
        <f t="shared" si="51"/>
        <v>0</v>
      </c>
      <c r="S173" s="224">
        <f t="shared" si="51"/>
        <v>0</v>
      </c>
      <c r="T173" s="224">
        <f t="shared" si="51"/>
        <v>0</v>
      </c>
      <c r="U173" s="224">
        <f t="shared" si="51"/>
        <v>0</v>
      </c>
      <c r="V173" s="224">
        <f t="shared" si="51"/>
        <v>0</v>
      </c>
      <c r="W173" s="224">
        <f t="shared" si="51"/>
        <v>0</v>
      </c>
      <c r="X173" s="224">
        <f t="shared" si="51"/>
        <v>0</v>
      </c>
      <c r="Y173" s="224">
        <f t="shared" si="51"/>
        <v>0</v>
      </c>
      <c r="Z173" s="224">
        <f t="shared" si="51"/>
        <v>0</v>
      </c>
      <c r="AA173" s="224">
        <f t="shared" si="51"/>
        <v>0</v>
      </c>
      <c r="AB173" s="224">
        <f t="shared" si="51"/>
        <v>0</v>
      </c>
      <c r="AC173" s="224">
        <f t="shared" si="51"/>
        <v>0</v>
      </c>
      <c r="AD173" s="224">
        <f t="shared" si="51"/>
        <v>0</v>
      </c>
      <c r="AE173" s="224">
        <f t="shared" si="51"/>
        <v>0</v>
      </c>
      <c r="AF173" s="224">
        <f t="shared" si="51"/>
        <v>0</v>
      </c>
      <c r="AG173" s="224">
        <f t="shared" si="51"/>
        <v>0</v>
      </c>
      <c r="AH173" s="224">
        <f t="shared" si="51"/>
        <v>0</v>
      </c>
      <c r="AI173" s="224">
        <f t="shared" si="51"/>
        <v>0</v>
      </c>
      <c r="AJ173" s="224">
        <f t="shared" si="51"/>
        <v>0</v>
      </c>
      <c r="AK173" s="224">
        <f t="shared" si="51"/>
        <v>0</v>
      </c>
      <c r="AL173" s="224">
        <f t="shared" si="51"/>
        <v>0</v>
      </c>
      <c r="AM173" s="224">
        <f t="shared" si="51"/>
        <v>0</v>
      </c>
      <c r="AN173" s="224">
        <f t="shared" si="51"/>
        <v>0</v>
      </c>
      <c r="AO173" s="224">
        <f t="shared" si="51"/>
        <v>0</v>
      </c>
      <c r="AP173" s="224">
        <f t="shared" si="51"/>
        <v>0</v>
      </c>
      <c r="AQ173" s="224">
        <f t="shared" si="51"/>
        <v>0</v>
      </c>
      <c r="AR173" s="224">
        <f t="shared" si="51"/>
        <v>0</v>
      </c>
      <c r="AS173" s="224">
        <f t="shared" si="51"/>
        <v>0</v>
      </c>
    </row>
    <row r="174" spans="1:45" hidden="1" outlineLevel="2">
      <c r="B174" s="9" t="str">
        <f>'Input - Option 2 Detailed Input'!$C$164</f>
        <v>Weeding</v>
      </c>
      <c r="C174" s="44">
        <f>'Input - Option 2 Detailed Input'!H206</f>
        <v>0</v>
      </c>
      <c r="H174" s="343">
        <f t="shared" si="50"/>
        <v>0</v>
      </c>
      <c r="I174" s="211"/>
      <c r="J174" s="224">
        <f t="shared" si="52"/>
        <v>0</v>
      </c>
      <c r="K174" s="224">
        <f t="shared" si="51"/>
        <v>0</v>
      </c>
      <c r="L174" s="224">
        <f t="shared" si="51"/>
        <v>0</v>
      </c>
      <c r="M174" s="224">
        <f t="shared" si="51"/>
        <v>0</v>
      </c>
      <c r="N174" s="224">
        <f t="shared" si="51"/>
        <v>0</v>
      </c>
      <c r="O174" s="224">
        <f t="shared" si="51"/>
        <v>0</v>
      </c>
      <c r="P174" s="224">
        <f t="shared" si="51"/>
        <v>0</v>
      </c>
      <c r="Q174" s="224">
        <f t="shared" si="51"/>
        <v>0</v>
      </c>
      <c r="R174" s="224">
        <f t="shared" si="51"/>
        <v>0</v>
      </c>
      <c r="S174" s="224">
        <f t="shared" si="51"/>
        <v>0</v>
      </c>
      <c r="T174" s="224">
        <f t="shared" si="51"/>
        <v>0</v>
      </c>
      <c r="U174" s="224">
        <f t="shared" si="51"/>
        <v>0</v>
      </c>
      <c r="V174" s="224">
        <f t="shared" si="51"/>
        <v>0</v>
      </c>
      <c r="W174" s="224">
        <f t="shared" si="51"/>
        <v>0</v>
      </c>
      <c r="X174" s="224">
        <f t="shared" si="51"/>
        <v>0</v>
      </c>
      <c r="Y174" s="224">
        <f t="shared" si="51"/>
        <v>0</v>
      </c>
      <c r="Z174" s="224">
        <f t="shared" si="51"/>
        <v>0</v>
      </c>
      <c r="AA174" s="224">
        <f t="shared" si="51"/>
        <v>0</v>
      </c>
      <c r="AB174" s="224">
        <f t="shared" si="51"/>
        <v>0</v>
      </c>
      <c r="AC174" s="224">
        <f t="shared" si="51"/>
        <v>0</v>
      </c>
      <c r="AD174" s="224">
        <f t="shared" si="51"/>
        <v>0</v>
      </c>
      <c r="AE174" s="224">
        <f t="shared" si="51"/>
        <v>0</v>
      </c>
      <c r="AF174" s="224">
        <f t="shared" si="51"/>
        <v>0</v>
      </c>
      <c r="AG174" s="224">
        <f t="shared" si="51"/>
        <v>0</v>
      </c>
      <c r="AH174" s="224">
        <f t="shared" si="51"/>
        <v>0</v>
      </c>
      <c r="AI174" s="224">
        <f t="shared" si="51"/>
        <v>0</v>
      </c>
      <c r="AJ174" s="224">
        <f t="shared" ref="K174:AS176" si="53">-IF((AJ$3=$D$166),($C174)*AJ$4,)</f>
        <v>0</v>
      </c>
      <c r="AK174" s="224">
        <f t="shared" si="53"/>
        <v>0</v>
      </c>
      <c r="AL174" s="224">
        <f t="shared" si="53"/>
        <v>0</v>
      </c>
      <c r="AM174" s="224">
        <f t="shared" si="53"/>
        <v>0</v>
      </c>
      <c r="AN174" s="224">
        <f t="shared" si="53"/>
        <v>0</v>
      </c>
      <c r="AO174" s="224">
        <f t="shared" si="53"/>
        <v>0</v>
      </c>
      <c r="AP174" s="224">
        <f t="shared" si="53"/>
        <v>0</v>
      </c>
      <c r="AQ174" s="224">
        <f t="shared" si="53"/>
        <v>0</v>
      </c>
      <c r="AR174" s="224">
        <f t="shared" si="53"/>
        <v>0</v>
      </c>
      <c r="AS174" s="224">
        <f t="shared" si="53"/>
        <v>0</v>
      </c>
    </row>
    <row r="175" spans="1:45" hidden="1" outlineLevel="2">
      <c r="B175" s="9" t="str">
        <f>'Input - Option 2 Detailed Input'!$C$165</f>
        <v>Epicormic growth removal </v>
      </c>
      <c r="C175" s="44">
        <f>'Input - Option 2 Detailed Input'!H207</f>
        <v>0</v>
      </c>
      <c r="H175" s="343">
        <f t="shared" si="50"/>
        <v>0</v>
      </c>
      <c r="I175" s="211"/>
      <c r="J175" s="224">
        <f t="shared" si="52"/>
        <v>0</v>
      </c>
      <c r="K175" s="224">
        <f t="shared" si="53"/>
        <v>0</v>
      </c>
      <c r="L175" s="224">
        <f t="shared" si="53"/>
        <v>0</v>
      </c>
      <c r="M175" s="224">
        <f t="shared" si="53"/>
        <v>0</v>
      </c>
      <c r="N175" s="224">
        <f t="shared" si="53"/>
        <v>0</v>
      </c>
      <c r="O175" s="224">
        <f t="shared" si="53"/>
        <v>0</v>
      </c>
      <c r="P175" s="224">
        <f t="shared" si="53"/>
        <v>0</v>
      </c>
      <c r="Q175" s="224">
        <f t="shared" si="53"/>
        <v>0</v>
      </c>
      <c r="R175" s="224">
        <f t="shared" si="53"/>
        <v>0</v>
      </c>
      <c r="S175" s="224">
        <f t="shared" si="53"/>
        <v>0</v>
      </c>
      <c r="T175" s="224">
        <f t="shared" si="53"/>
        <v>0</v>
      </c>
      <c r="U175" s="224">
        <f t="shared" si="53"/>
        <v>0</v>
      </c>
      <c r="V175" s="224">
        <f t="shared" si="53"/>
        <v>0</v>
      </c>
      <c r="W175" s="224">
        <f t="shared" si="53"/>
        <v>0</v>
      </c>
      <c r="X175" s="224">
        <f t="shared" si="53"/>
        <v>0</v>
      </c>
      <c r="Y175" s="224">
        <f t="shared" si="53"/>
        <v>0</v>
      </c>
      <c r="Z175" s="224">
        <f t="shared" si="53"/>
        <v>0</v>
      </c>
      <c r="AA175" s="224">
        <f t="shared" si="53"/>
        <v>0</v>
      </c>
      <c r="AB175" s="224">
        <f t="shared" si="53"/>
        <v>0</v>
      </c>
      <c r="AC175" s="224">
        <f t="shared" si="53"/>
        <v>0</v>
      </c>
      <c r="AD175" s="224">
        <f t="shared" si="53"/>
        <v>0</v>
      </c>
      <c r="AE175" s="224">
        <f t="shared" si="53"/>
        <v>0</v>
      </c>
      <c r="AF175" s="224">
        <f t="shared" si="53"/>
        <v>0</v>
      </c>
      <c r="AG175" s="224">
        <f t="shared" si="53"/>
        <v>0</v>
      </c>
      <c r="AH175" s="224">
        <f t="shared" si="53"/>
        <v>0</v>
      </c>
      <c r="AI175" s="224">
        <f t="shared" si="53"/>
        <v>0</v>
      </c>
      <c r="AJ175" s="224">
        <f t="shared" si="53"/>
        <v>0</v>
      </c>
      <c r="AK175" s="224">
        <f t="shared" si="53"/>
        <v>0</v>
      </c>
      <c r="AL175" s="224">
        <f t="shared" si="53"/>
        <v>0</v>
      </c>
      <c r="AM175" s="224">
        <f t="shared" si="53"/>
        <v>0</v>
      </c>
      <c r="AN175" s="224">
        <f t="shared" si="53"/>
        <v>0</v>
      </c>
      <c r="AO175" s="224">
        <f t="shared" si="53"/>
        <v>0</v>
      </c>
      <c r="AP175" s="224">
        <f t="shared" si="53"/>
        <v>0</v>
      </c>
      <c r="AQ175" s="224">
        <f t="shared" si="53"/>
        <v>0</v>
      </c>
      <c r="AR175" s="224">
        <f t="shared" si="53"/>
        <v>0</v>
      </c>
      <c r="AS175" s="224">
        <f t="shared" si="53"/>
        <v>0</v>
      </c>
    </row>
    <row r="176" spans="1:45" hidden="1" outlineLevel="2">
      <c r="B176" s="9" t="str">
        <f>'Input - Option 2 Detailed Input'!$C$166</f>
        <v xml:space="preserve">Costs associated with standpipes </v>
      </c>
      <c r="C176" s="44">
        <f>'Input - Option 2 Detailed Input'!H208</f>
        <v>0</v>
      </c>
      <c r="H176" s="343">
        <f t="shared" si="50"/>
        <v>0</v>
      </c>
      <c r="I176" s="211"/>
      <c r="J176" s="224">
        <f t="shared" si="52"/>
        <v>0</v>
      </c>
      <c r="K176" s="224">
        <f t="shared" si="53"/>
        <v>0</v>
      </c>
      <c r="L176" s="224">
        <f t="shared" si="53"/>
        <v>0</v>
      </c>
      <c r="M176" s="224">
        <f t="shared" si="53"/>
        <v>0</v>
      </c>
      <c r="N176" s="224">
        <f t="shared" si="53"/>
        <v>0</v>
      </c>
      <c r="O176" s="224">
        <f t="shared" si="53"/>
        <v>0</v>
      </c>
      <c r="P176" s="224">
        <f t="shared" si="53"/>
        <v>0</v>
      </c>
      <c r="Q176" s="224">
        <f t="shared" si="53"/>
        <v>0</v>
      </c>
      <c r="R176" s="224">
        <f t="shared" si="53"/>
        <v>0</v>
      </c>
      <c r="S176" s="224">
        <f t="shared" si="53"/>
        <v>0</v>
      </c>
      <c r="T176" s="224">
        <f t="shared" si="53"/>
        <v>0</v>
      </c>
      <c r="U176" s="224">
        <f t="shared" si="53"/>
        <v>0</v>
      </c>
      <c r="V176" s="224">
        <f t="shared" si="53"/>
        <v>0</v>
      </c>
      <c r="W176" s="224">
        <f t="shared" si="53"/>
        <v>0</v>
      </c>
      <c r="X176" s="224">
        <f t="shared" si="53"/>
        <v>0</v>
      </c>
      <c r="Y176" s="224">
        <f t="shared" si="53"/>
        <v>0</v>
      </c>
      <c r="Z176" s="224">
        <f t="shared" si="53"/>
        <v>0</v>
      </c>
      <c r="AA176" s="224">
        <f t="shared" si="53"/>
        <v>0</v>
      </c>
      <c r="AB176" s="224">
        <f t="shared" si="53"/>
        <v>0</v>
      </c>
      <c r="AC176" s="224">
        <f t="shared" si="53"/>
        <v>0</v>
      </c>
      <c r="AD176" s="224">
        <f t="shared" si="53"/>
        <v>0</v>
      </c>
      <c r="AE176" s="224">
        <f t="shared" si="53"/>
        <v>0</v>
      </c>
      <c r="AF176" s="224">
        <f t="shared" si="53"/>
        <v>0</v>
      </c>
      <c r="AG176" s="224">
        <f t="shared" si="53"/>
        <v>0</v>
      </c>
      <c r="AH176" s="224">
        <f t="shared" si="53"/>
        <v>0</v>
      </c>
      <c r="AI176" s="224">
        <f t="shared" si="53"/>
        <v>0</v>
      </c>
      <c r="AJ176" s="224">
        <f t="shared" si="53"/>
        <v>0</v>
      </c>
      <c r="AK176" s="224">
        <f t="shared" si="53"/>
        <v>0</v>
      </c>
      <c r="AL176" s="224">
        <f t="shared" si="53"/>
        <v>0</v>
      </c>
      <c r="AM176" s="224">
        <f t="shared" si="53"/>
        <v>0</v>
      </c>
      <c r="AN176" s="224">
        <f t="shared" si="53"/>
        <v>0</v>
      </c>
      <c r="AO176" s="224">
        <f t="shared" si="53"/>
        <v>0</v>
      </c>
      <c r="AP176" s="224">
        <f t="shared" si="53"/>
        <v>0</v>
      </c>
      <c r="AQ176" s="224">
        <f t="shared" si="53"/>
        <v>0</v>
      </c>
      <c r="AR176" s="224">
        <f t="shared" si="53"/>
        <v>0</v>
      </c>
      <c r="AS176" s="224">
        <f t="shared" si="53"/>
        <v>0</v>
      </c>
    </row>
    <row r="177" spans="1:45" hidden="1" outlineLevel="2">
      <c r="H177" s="343"/>
      <c r="I177" s="213"/>
      <c r="J177" s="224"/>
      <c r="K177" s="224"/>
      <c r="L177" s="224"/>
      <c r="M177" s="224"/>
      <c r="N177" s="224"/>
      <c r="O177" s="224"/>
      <c r="P177" s="224"/>
      <c r="Q177" s="224"/>
      <c r="R177" s="224"/>
      <c r="S177" s="224"/>
      <c r="T177" s="224"/>
      <c r="U177" s="224"/>
      <c r="V177" s="224"/>
      <c r="W177" s="224"/>
      <c r="X177" s="224"/>
      <c r="Y177" s="224"/>
      <c r="Z177" s="224"/>
      <c r="AA177" s="224"/>
      <c r="AB177" s="224"/>
      <c r="AC177" s="224"/>
      <c r="AD177" s="224"/>
      <c r="AE177" s="224"/>
      <c r="AF177" s="224"/>
      <c r="AG177" s="224"/>
      <c r="AH177" s="224"/>
      <c r="AI177" s="224"/>
      <c r="AJ177" s="224"/>
      <c r="AK177" s="224"/>
      <c r="AL177" s="224"/>
      <c r="AM177" s="224"/>
      <c r="AN177" s="224"/>
      <c r="AO177" s="224"/>
      <c r="AP177" s="224"/>
      <c r="AQ177" s="224"/>
      <c r="AR177" s="224"/>
      <c r="AS177" s="224"/>
    </row>
    <row r="178" spans="1:45" hidden="1" outlineLevel="2">
      <c r="B178" s="103" t="str">
        <f>'Input - Option 2 Detailed Input'!C210</f>
        <v>Year 3 - Additional Costs</v>
      </c>
      <c r="C178" s="25" t="str">
        <f>'Input - Option 2 Detailed Input'!G210</f>
        <v>Total Costs (per visit)</v>
      </c>
      <c r="H178" s="343"/>
      <c r="I178" s="213"/>
      <c r="J178" s="224"/>
      <c r="K178" s="224"/>
      <c r="L178" s="224"/>
      <c r="M178" s="224"/>
      <c r="N178" s="224"/>
      <c r="O178" s="224"/>
      <c r="P178" s="224"/>
      <c r="Q178" s="224"/>
      <c r="R178" s="224"/>
      <c r="S178" s="224"/>
      <c r="T178" s="224"/>
      <c r="U178" s="224"/>
      <c r="V178" s="224"/>
      <c r="W178" s="224"/>
      <c r="X178" s="224"/>
      <c r="Y178" s="224"/>
      <c r="Z178" s="224"/>
      <c r="AA178" s="224"/>
      <c r="AB178" s="224"/>
      <c r="AC178" s="224"/>
      <c r="AD178" s="224"/>
      <c r="AE178" s="224"/>
      <c r="AF178" s="224"/>
      <c r="AG178" s="224"/>
      <c r="AH178" s="224"/>
      <c r="AI178" s="224"/>
      <c r="AJ178" s="224"/>
      <c r="AK178" s="224"/>
      <c r="AL178" s="224"/>
      <c r="AM178" s="224"/>
      <c r="AN178" s="224"/>
      <c r="AO178" s="224"/>
      <c r="AP178" s="224"/>
      <c r="AQ178" s="224"/>
      <c r="AR178" s="224"/>
      <c r="AS178" s="224"/>
    </row>
    <row r="179" spans="1:45" hidden="1" outlineLevel="2">
      <c r="B179" s="9" t="str">
        <f>'Input - Option 2 Detailed Input'!C211</f>
        <v xml:space="preserve">[Additional costs #1] </v>
      </c>
      <c r="C179" s="44">
        <f>'Input - Option 2 Detailed Input'!G211</f>
        <v>0</v>
      </c>
      <c r="H179" s="343">
        <f>SUM(J179:EJ179)</f>
        <v>0</v>
      </c>
      <c r="I179" s="211"/>
      <c r="J179" s="224">
        <f>-IF((J$3=$D$166),($C179)*J$4,)</f>
        <v>0</v>
      </c>
      <c r="K179" s="224">
        <f t="shared" ref="K179:AS183" si="54">-IF((K$3=$D$166),($C179)*K$4,)</f>
        <v>0</v>
      </c>
      <c r="L179" s="224">
        <f t="shared" si="54"/>
        <v>0</v>
      </c>
      <c r="M179" s="224">
        <f t="shared" si="54"/>
        <v>0</v>
      </c>
      <c r="N179" s="224">
        <f t="shared" si="54"/>
        <v>0</v>
      </c>
      <c r="O179" s="224">
        <f t="shared" si="54"/>
        <v>0</v>
      </c>
      <c r="P179" s="224">
        <f t="shared" si="54"/>
        <v>0</v>
      </c>
      <c r="Q179" s="224">
        <f t="shared" si="54"/>
        <v>0</v>
      </c>
      <c r="R179" s="224">
        <f t="shared" si="54"/>
        <v>0</v>
      </c>
      <c r="S179" s="224">
        <f t="shared" si="54"/>
        <v>0</v>
      </c>
      <c r="T179" s="224">
        <f t="shared" si="54"/>
        <v>0</v>
      </c>
      <c r="U179" s="224">
        <f t="shared" si="54"/>
        <v>0</v>
      </c>
      <c r="V179" s="224">
        <f t="shared" si="54"/>
        <v>0</v>
      </c>
      <c r="W179" s="224">
        <f t="shared" si="54"/>
        <v>0</v>
      </c>
      <c r="X179" s="224">
        <f t="shared" si="54"/>
        <v>0</v>
      </c>
      <c r="Y179" s="224">
        <f t="shared" si="54"/>
        <v>0</v>
      </c>
      <c r="Z179" s="224">
        <f t="shared" si="54"/>
        <v>0</v>
      </c>
      <c r="AA179" s="224">
        <f t="shared" si="54"/>
        <v>0</v>
      </c>
      <c r="AB179" s="224">
        <f t="shared" si="54"/>
        <v>0</v>
      </c>
      <c r="AC179" s="224">
        <f t="shared" si="54"/>
        <v>0</v>
      </c>
      <c r="AD179" s="224">
        <f t="shared" si="54"/>
        <v>0</v>
      </c>
      <c r="AE179" s="224">
        <f t="shared" si="54"/>
        <v>0</v>
      </c>
      <c r="AF179" s="224">
        <f t="shared" si="54"/>
        <v>0</v>
      </c>
      <c r="AG179" s="224">
        <f t="shared" si="54"/>
        <v>0</v>
      </c>
      <c r="AH179" s="224">
        <f t="shared" si="54"/>
        <v>0</v>
      </c>
      <c r="AI179" s="224">
        <f t="shared" si="54"/>
        <v>0</v>
      </c>
      <c r="AJ179" s="224">
        <f t="shared" si="54"/>
        <v>0</v>
      </c>
      <c r="AK179" s="224">
        <f t="shared" si="54"/>
        <v>0</v>
      </c>
      <c r="AL179" s="224">
        <f t="shared" si="54"/>
        <v>0</v>
      </c>
      <c r="AM179" s="224">
        <f t="shared" si="54"/>
        <v>0</v>
      </c>
      <c r="AN179" s="224">
        <f t="shared" si="54"/>
        <v>0</v>
      </c>
      <c r="AO179" s="224">
        <f t="shared" si="54"/>
        <v>0</v>
      </c>
      <c r="AP179" s="224">
        <f t="shared" si="54"/>
        <v>0</v>
      </c>
      <c r="AQ179" s="224">
        <f t="shared" si="54"/>
        <v>0</v>
      </c>
      <c r="AR179" s="224">
        <f t="shared" si="54"/>
        <v>0</v>
      </c>
      <c r="AS179" s="224">
        <f t="shared" si="54"/>
        <v>0</v>
      </c>
    </row>
    <row r="180" spans="1:45" hidden="1" outlineLevel="2">
      <c r="B180" s="9" t="str">
        <f>'Input - Option 2 Detailed Input'!C212</f>
        <v>[Additional costs #2]</v>
      </c>
      <c r="C180" s="44">
        <f>'Input - Option 2 Detailed Input'!G212</f>
        <v>0</v>
      </c>
      <c r="H180" s="343">
        <f>SUM(J180:EJ180)</f>
        <v>0</v>
      </c>
      <c r="I180" s="211"/>
      <c r="J180" s="224">
        <f t="shared" ref="J180:Y183" si="55">-IF((J$3=$D$166),($C180)*J$4,)</f>
        <v>0</v>
      </c>
      <c r="K180" s="224">
        <f t="shared" si="55"/>
        <v>0</v>
      </c>
      <c r="L180" s="224">
        <f t="shared" si="55"/>
        <v>0</v>
      </c>
      <c r="M180" s="224">
        <f t="shared" si="55"/>
        <v>0</v>
      </c>
      <c r="N180" s="224">
        <f t="shared" si="55"/>
        <v>0</v>
      </c>
      <c r="O180" s="224">
        <f t="shared" si="55"/>
        <v>0</v>
      </c>
      <c r="P180" s="224">
        <f t="shared" si="55"/>
        <v>0</v>
      </c>
      <c r="Q180" s="224">
        <f t="shared" si="55"/>
        <v>0</v>
      </c>
      <c r="R180" s="224">
        <f t="shared" si="55"/>
        <v>0</v>
      </c>
      <c r="S180" s="224">
        <f t="shared" si="55"/>
        <v>0</v>
      </c>
      <c r="T180" s="224">
        <f t="shared" si="55"/>
        <v>0</v>
      </c>
      <c r="U180" s="224">
        <f t="shared" si="55"/>
        <v>0</v>
      </c>
      <c r="V180" s="224">
        <f t="shared" si="55"/>
        <v>0</v>
      </c>
      <c r="W180" s="224">
        <f t="shared" si="55"/>
        <v>0</v>
      </c>
      <c r="X180" s="224">
        <f t="shared" si="55"/>
        <v>0</v>
      </c>
      <c r="Y180" s="224">
        <f t="shared" si="55"/>
        <v>0</v>
      </c>
      <c r="Z180" s="224">
        <f t="shared" si="54"/>
        <v>0</v>
      </c>
      <c r="AA180" s="224">
        <f t="shared" si="54"/>
        <v>0</v>
      </c>
      <c r="AB180" s="224">
        <f t="shared" si="54"/>
        <v>0</v>
      </c>
      <c r="AC180" s="224">
        <f t="shared" si="54"/>
        <v>0</v>
      </c>
      <c r="AD180" s="224">
        <f t="shared" si="54"/>
        <v>0</v>
      </c>
      <c r="AE180" s="224">
        <f t="shared" si="54"/>
        <v>0</v>
      </c>
      <c r="AF180" s="224">
        <f t="shared" si="54"/>
        <v>0</v>
      </c>
      <c r="AG180" s="224">
        <f t="shared" si="54"/>
        <v>0</v>
      </c>
      <c r="AH180" s="224">
        <f t="shared" si="54"/>
        <v>0</v>
      </c>
      <c r="AI180" s="224">
        <f t="shared" si="54"/>
        <v>0</v>
      </c>
      <c r="AJ180" s="224">
        <f t="shared" si="54"/>
        <v>0</v>
      </c>
      <c r="AK180" s="224">
        <f t="shared" si="54"/>
        <v>0</v>
      </c>
      <c r="AL180" s="224">
        <f t="shared" si="54"/>
        <v>0</v>
      </c>
      <c r="AM180" s="224">
        <f t="shared" si="54"/>
        <v>0</v>
      </c>
      <c r="AN180" s="224">
        <f t="shared" si="54"/>
        <v>0</v>
      </c>
      <c r="AO180" s="224">
        <f t="shared" si="54"/>
        <v>0</v>
      </c>
      <c r="AP180" s="224">
        <f t="shared" si="54"/>
        <v>0</v>
      </c>
      <c r="AQ180" s="224">
        <f t="shared" si="54"/>
        <v>0</v>
      </c>
      <c r="AR180" s="224">
        <f t="shared" si="54"/>
        <v>0</v>
      </c>
      <c r="AS180" s="224">
        <f t="shared" si="54"/>
        <v>0</v>
      </c>
    </row>
    <row r="181" spans="1:45" hidden="1" outlineLevel="2">
      <c r="B181" s="9" t="str">
        <f>'Input - Option 2 Detailed Input'!C213</f>
        <v xml:space="preserve">[Additional costs #3] </v>
      </c>
      <c r="C181" s="44">
        <f>'Input - Option 2 Detailed Input'!G213</f>
        <v>0</v>
      </c>
      <c r="H181" s="343">
        <f>SUM(J181:EJ181)</f>
        <v>0</v>
      </c>
      <c r="I181" s="211"/>
      <c r="J181" s="224">
        <f t="shared" si="55"/>
        <v>0</v>
      </c>
      <c r="K181" s="224">
        <f t="shared" si="54"/>
        <v>0</v>
      </c>
      <c r="L181" s="224">
        <f t="shared" si="54"/>
        <v>0</v>
      </c>
      <c r="M181" s="224">
        <f t="shared" si="54"/>
        <v>0</v>
      </c>
      <c r="N181" s="224">
        <f t="shared" si="54"/>
        <v>0</v>
      </c>
      <c r="O181" s="224">
        <f t="shared" si="54"/>
        <v>0</v>
      </c>
      <c r="P181" s="224">
        <f t="shared" si="54"/>
        <v>0</v>
      </c>
      <c r="Q181" s="224">
        <f t="shared" si="54"/>
        <v>0</v>
      </c>
      <c r="R181" s="224">
        <f t="shared" si="54"/>
        <v>0</v>
      </c>
      <c r="S181" s="224">
        <f t="shared" si="54"/>
        <v>0</v>
      </c>
      <c r="T181" s="224">
        <f t="shared" si="54"/>
        <v>0</v>
      </c>
      <c r="U181" s="224">
        <f t="shared" si="54"/>
        <v>0</v>
      </c>
      <c r="V181" s="224">
        <f t="shared" si="54"/>
        <v>0</v>
      </c>
      <c r="W181" s="224">
        <f t="shared" si="54"/>
        <v>0</v>
      </c>
      <c r="X181" s="224">
        <f t="shared" si="54"/>
        <v>0</v>
      </c>
      <c r="Y181" s="224">
        <f t="shared" si="54"/>
        <v>0</v>
      </c>
      <c r="Z181" s="224">
        <f t="shared" si="54"/>
        <v>0</v>
      </c>
      <c r="AA181" s="224">
        <f t="shared" si="54"/>
        <v>0</v>
      </c>
      <c r="AB181" s="224">
        <f t="shared" si="54"/>
        <v>0</v>
      </c>
      <c r="AC181" s="224">
        <f t="shared" si="54"/>
        <v>0</v>
      </c>
      <c r="AD181" s="224">
        <f t="shared" si="54"/>
        <v>0</v>
      </c>
      <c r="AE181" s="224">
        <f t="shared" si="54"/>
        <v>0</v>
      </c>
      <c r="AF181" s="224">
        <f t="shared" si="54"/>
        <v>0</v>
      </c>
      <c r="AG181" s="224">
        <f t="shared" si="54"/>
        <v>0</v>
      </c>
      <c r="AH181" s="224">
        <f t="shared" si="54"/>
        <v>0</v>
      </c>
      <c r="AI181" s="224">
        <f t="shared" si="54"/>
        <v>0</v>
      </c>
      <c r="AJ181" s="224">
        <f t="shared" si="54"/>
        <v>0</v>
      </c>
      <c r="AK181" s="224">
        <f t="shared" si="54"/>
        <v>0</v>
      </c>
      <c r="AL181" s="224">
        <f t="shared" si="54"/>
        <v>0</v>
      </c>
      <c r="AM181" s="224">
        <f t="shared" si="54"/>
        <v>0</v>
      </c>
      <c r="AN181" s="224">
        <f t="shared" si="54"/>
        <v>0</v>
      </c>
      <c r="AO181" s="224">
        <f t="shared" si="54"/>
        <v>0</v>
      </c>
      <c r="AP181" s="224">
        <f t="shared" si="54"/>
        <v>0</v>
      </c>
      <c r="AQ181" s="224">
        <f t="shared" si="54"/>
        <v>0</v>
      </c>
      <c r="AR181" s="224">
        <f t="shared" si="54"/>
        <v>0</v>
      </c>
      <c r="AS181" s="224">
        <f t="shared" si="54"/>
        <v>0</v>
      </c>
    </row>
    <row r="182" spans="1:45" hidden="1" outlineLevel="2">
      <c r="B182" s="9" t="str">
        <f>'Input - Option 2 Detailed Input'!C214</f>
        <v>[Additional costs #4]</v>
      </c>
      <c r="C182" s="44">
        <f>'Input - Option 2 Detailed Input'!G214</f>
        <v>0</v>
      </c>
      <c r="H182" s="343">
        <f>SUM(J182:EJ182)</f>
        <v>0</v>
      </c>
      <c r="I182" s="211"/>
      <c r="J182" s="224">
        <f t="shared" si="55"/>
        <v>0</v>
      </c>
      <c r="K182" s="224">
        <f t="shared" si="54"/>
        <v>0</v>
      </c>
      <c r="L182" s="224">
        <f t="shared" si="54"/>
        <v>0</v>
      </c>
      <c r="M182" s="224">
        <f t="shared" si="54"/>
        <v>0</v>
      </c>
      <c r="N182" s="224">
        <f t="shared" si="54"/>
        <v>0</v>
      </c>
      <c r="O182" s="224">
        <f t="shared" si="54"/>
        <v>0</v>
      </c>
      <c r="P182" s="224">
        <f t="shared" si="54"/>
        <v>0</v>
      </c>
      <c r="Q182" s="224">
        <f t="shared" si="54"/>
        <v>0</v>
      </c>
      <c r="R182" s="224">
        <f t="shared" si="54"/>
        <v>0</v>
      </c>
      <c r="S182" s="224">
        <f t="shared" si="54"/>
        <v>0</v>
      </c>
      <c r="T182" s="224">
        <f t="shared" si="54"/>
        <v>0</v>
      </c>
      <c r="U182" s="224">
        <f t="shared" si="54"/>
        <v>0</v>
      </c>
      <c r="V182" s="224">
        <f t="shared" si="54"/>
        <v>0</v>
      </c>
      <c r="W182" s="224">
        <f t="shared" si="54"/>
        <v>0</v>
      </c>
      <c r="X182" s="224">
        <f t="shared" si="54"/>
        <v>0</v>
      </c>
      <c r="Y182" s="224">
        <f t="shared" si="54"/>
        <v>0</v>
      </c>
      <c r="Z182" s="224">
        <f t="shared" si="54"/>
        <v>0</v>
      </c>
      <c r="AA182" s="224">
        <f t="shared" si="54"/>
        <v>0</v>
      </c>
      <c r="AB182" s="224">
        <f t="shared" si="54"/>
        <v>0</v>
      </c>
      <c r="AC182" s="224">
        <f t="shared" si="54"/>
        <v>0</v>
      </c>
      <c r="AD182" s="224">
        <f t="shared" si="54"/>
        <v>0</v>
      </c>
      <c r="AE182" s="224">
        <f t="shared" si="54"/>
        <v>0</v>
      </c>
      <c r="AF182" s="224">
        <f t="shared" si="54"/>
        <v>0</v>
      </c>
      <c r="AG182" s="224">
        <f t="shared" si="54"/>
        <v>0</v>
      </c>
      <c r="AH182" s="224">
        <f t="shared" si="54"/>
        <v>0</v>
      </c>
      <c r="AI182" s="224">
        <f t="shared" si="54"/>
        <v>0</v>
      </c>
      <c r="AJ182" s="224">
        <f t="shared" si="54"/>
        <v>0</v>
      </c>
      <c r="AK182" s="224">
        <f t="shared" si="54"/>
        <v>0</v>
      </c>
      <c r="AL182" s="224">
        <f t="shared" si="54"/>
        <v>0</v>
      </c>
      <c r="AM182" s="224">
        <f t="shared" si="54"/>
        <v>0</v>
      </c>
      <c r="AN182" s="224">
        <f t="shared" si="54"/>
        <v>0</v>
      </c>
      <c r="AO182" s="224">
        <f t="shared" si="54"/>
        <v>0</v>
      </c>
      <c r="AP182" s="224">
        <f t="shared" si="54"/>
        <v>0</v>
      </c>
      <c r="AQ182" s="224">
        <f t="shared" si="54"/>
        <v>0</v>
      </c>
      <c r="AR182" s="224">
        <f t="shared" si="54"/>
        <v>0</v>
      </c>
      <c r="AS182" s="224">
        <f t="shared" si="54"/>
        <v>0</v>
      </c>
    </row>
    <row r="183" spans="1:45" hidden="1" outlineLevel="2">
      <c r="B183" s="9" t="str">
        <f>'Input - Option 2 Detailed Input'!C215</f>
        <v xml:space="preserve">[Additional costs #5] </v>
      </c>
      <c r="C183" s="44">
        <f>'Input - Option 2 Detailed Input'!G215</f>
        <v>0</v>
      </c>
      <c r="H183" s="343">
        <f>SUM(J183:EJ183)</f>
        <v>0</v>
      </c>
      <c r="I183" s="211"/>
      <c r="J183" s="224">
        <f t="shared" si="55"/>
        <v>0</v>
      </c>
      <c r="K183" s="224">
        <f t="shared" si="54"/>
        <v>0</v>
      </c>
      <c r="L183" s="224">
        <f t="shared" si="54"/>
        <v>0</v>
      </c>
      <c r="M183" s="224">
        <f t="shared" si="54"/>
        <v>0</v>
      </c>
      <c r="N183" s="224">
        <f t="shared" si="54"/>
        <v>0</v>
      </c>
      <c r="O183" s="224">
        <f t="shared" si="54"/>
        <v>0</v>
      </c>
      <c r="P183" s="224">
        <f t="shared" si="54"/>
        <v>0</v>
      </c>
      <c r="Q183" s="224">
        <f t="shared" si="54"/>
        <v>0</v>
      </c>
      <c r="R183" s="224">
        <f t="shared" si="54"/>
        <v>0</v>
      </c>
      <c r="S183" s="224">
        <f t="shared" si="54"/>
        <v>0</v>
      </c>
      <c r="T183" s="224">
        <f t="shared" si="54"/>
        <v>0</v>
      </c>
      <c r="U183" s="224">
        <f t="shared" si="54"/>
        <v>0</v>
      </c>
      <c r="V183" s="224">
        <f t="shared" si="54"/>
        <v>0</v>
      </c>
      <c r="W183" s="224">
        <f t="shared" si="54"/>
        <v>0</v>
      </c>
      <c r="X183" s="224">
        <f t="shared" si="54"/>
        <v>0</v>
      </c>
      <c r="Y183" s="224">
        <f t="shared" si="54"/>
        <v>0</v>
      </c>
      <c r="Z183" s="224">
        <f t="shared" si="54"/>
        <v>0</v>
      </c>
      <c r="AA183" s="224">
        <f t="shared" si="54"/>
        <v>0</v>
      </c>
      <c r="AB183" s="224">
        <f t="shared" si="54"/>
        <v>0</v>
      </c>
      <c r="AC183" s="224">
        <f t="shared" si="54"/>
        <v>0</v>
      </c>
      <c r="AD183" s="224">
        <f t="shared" si="54"/>
        <v>0</v>
      </c>
      <c r="AE183" s="224">
        <f t="shared" si="54"/>
        <v>0</v>
      </c>
      <c r="AF183" s="224">
        <f t="shared" si="54"/>
        <v>0</v>
      </c>
      <c r="AG183" s="224">
        <f t="shared" si="54"/>
        <v>0</v>
      </c>
      <c r="AH183" s="224">
        <f t="shared" si="54"/>
        <v>0</v>
      </c>
      <c r="AI183" s="224">
        <f t="shared" si="54"/>
        <v>0</v>
      </c>
      <c r="AJ183" s="224">
        <f t="shared" si="54"/>
        <v>0</v>
      </c>
      <c r="AK183" s="224">
        <f t="shared" si="54"/>
        <v>0</v>
      </c>
      <c r="AL183" s="224">
        <f t="shared" si="54"/>
        <v>0</v>
      </c>
      <c r="AM183" s="224">
        <f t="shared" si="54"/>
        <v>0</v>
      </c>
      <c r="AN183" s="224">
        <f t="shared" si="54"/>
        <v>0</v>
      </c>
      <c r="AO183" s="224">
        <f t="shared" si="54"/>
        <v>0</v>
      </c>
      <c r="AP183" s="224">
        <f t="shared" si="54"/>
        <v>0</v>
      </c>
      <c r="AQ183" s="224">
        <f t="shared" si="54"/>
        <v>0</v>
      </c>
      <c r="AR183" s="224">
        <f t="shared" si="54"/>
        <v>0</v>
      </c>
      <c r="AS183" s="224">
        <f t="shared" si="54"/>
        <v>0</v>
      </c>
    </row>
    <row r="184" spans="1:45" hidden="1" outlineLevel="2">
      <c r="H184" s="35"/>
      <c r="I184" s="213"/>
      <c r="J184" s="224"/>
    </row>
    <row r="185" spans="1:45" hidden="1" outlineLevel="2">
      <c r="A185" s="15"/>
      <c r="B185" s="16" t="s">
        <v>312</v>
      </c>
      <c r="C185" s="12"/>
      <c r="D185" s="12"/>
      <c r="E185" s="12"/>
      <c r="F185" s="12"/>
      <c r="G185" s="12"/>
      <c r="H185" s="259">
        <f>SUM(H179:H183,H167:H176)</f>
        <v>0</v>
      </c>
      <c r="I185" s="215"/>
      <c r="J185" s="225">
        <f>SUM(J167:J176,J179:J183)</f>
        <v>0</v>
      </c>
      <c r="K185" s="225">
        <f t="shared" ref="K185:AS185" si="56">SUM(K167:K176,K179:K183)</f>
        <v>0</v>
      </c>
      <c r="L185" s="225">
        <f>SUM(L167:L176,L179:L183)</f>
        <v>0</v>
      </c>
      <c r="M185" s="225">
        <f t="shared" si="56"/>
        <v>0</v>
      </c>
      <c r="N185" s="225">
        <f t="shared" si="56"/>
        <v>0</v>
      </c>
      <c r="O185" s="225">
        <f t="shared" si="56"/>
        <v>0</v>
      </c>
      <c r="P185" s="225">
        <f t="shared" si="56"/>
        <v>0</v>
      </c>
      <c r="Q185" s="225">
        <f t="shared" si="56"/>
        <v>0</v>
      </c>
      <c r="R185" s="225">
        <f t="shared" si="56"/>
        <v>0</v>
      </c>
      <c r="S185" s="225">
        <f t="shared" si="56"/>
        <v>0</v>
      </c>
      <c r="T185" s="225">
        <f t="shared" si="56"/>
        <v>0</v>
      </c>
      <c r="U185" s="225">
        <f t="shared" si="56"/>
        <v>0</v>
      </c>
      <c r="V185" s="225">
        <f t="shared" si="56"/>
        <v>0</v>
      </c>
      <c r="W185" s="225">
        <f t="shared" si="56"/>
        <v>0</v>
      </c>
      <c r="X185" s="225">
        <f t="shared" si="56"/>
        <v>0</v>
      </c>
      <c r="Y185" s="225">
        <f t="shared" si="56"/>
        <v>0</v>
      </c>
      <c r="Z185" s="225">
        <f t="shared" si="56"/>
        <v>0</v>
      </c>
      <c r="AA185" s="225">
        <f t="shared" si="56"/>
        <v>0</v>
      </c>
      <c r="AB185" s="225">
        <f t="shared" si="56"/>
        <v>0</v>
      </c>
      <c r="AC185" s="225">
        <f t="shared" si="56"/>
        <v>0</v>
      </c>
      <c r="AD185" s="225">
        <f t="shared" si="56"/>
        <v>0</v>
      </c>
      <c r="AE185" s="225">
        <f t="shared" si="56"/>
        <v>0</v>
      </c>
      <c r="AF185" s="225">
        <f t="shared" si="56"/>
        <v>0</v>
      </c>
      <c r="AG185" s="225">
        <f t="shared" si="56"/>
        <v>0</v>
      </c>
      <c r="AH185" s="225">
        <f t="shared" si="56"/>
        <v>0</v>
      </c>
      <c r="AI185" s="225">
        <f t="shared" si="56"/>
        <v>0</v>
      </c>
      <c r="AJ185" s="225">
        <f t="shared" si="56"/>
        <v>0</v>
      </c>
      <c r="AK185" s="225">
        <f t="shared" si="56"/>
        <v>0</v>
      </c>
      <c r="AL185" s="225">
        <f t="shared" si="56"/>
        <v>0</v>
      </c>
      <c r="AM185" s="225">
        <f t="shared" si="56"/>
        <v>0</v>
      </c>
      <c r="AN185" s="225">
        <f t="shared" si="56"/>
        <v>0</v>
      </c>
      <c r="AO185" s="225">
        <f t="shared" si="56"/>
        <v>0</v>
      </c>
      <c r="AP185" s="225">
        <f t="shared" si="56"/>
        <v>0</v>
      </c>
      <c r="AQ185" s="225">
        <f t="shared" si="56"/>
        <v>0</v>
      </c>
      <c r="AR185" s="225">
        <f t="shared" si="56"/>
        <v>0</v>
      </c>
      <c r="AS185" s="225">
        <f t="shared" si="56"/>
        <v>0</v>
      </c>
    </row>
    <row r="186" spans="1:45" hidden="1" outlineLevel="2">
      <c r="H186" s="35"/>
      <c r="I186" s="213"/>
    </row>
    <row r="187" spans="1:45" hidden="1" outlineLevel="2">
      <c r="B187" s="103" t="str">
        <f>'Input - Option 2 Detailed Input'!C217</f>
        <v>Year 4 of establishment and maintenance</v>
      </c>
      <c r="C187" s="25" t="str">
        <f>'Input - Option 2 Detailed Input'!H218</f>
        <v>Total Costs (per visit)</v>
      </c>
      <c r="D187" s="39">
        <f>IF($C$3=$C$4,'Input - Option 2 Detailed Input'!D217,)</f>
        <v>0</v>
      </c>
      <c r="H187" s="35"/>
      <c r="I187" s="213"/>
    </row>
    <row r="188" spans="1:45" hidden="1" outlineLevel="2">
      <c r="B188" s="9" t="str">
        <f>'Input - Option 2 Detailed Input'!$C$156</f>
        <v>Recuring unitary maintenance visits (e.g. watering, mulching, etc.)</v>
      </c>
      <c r="C188" s="44">
        <f>'Input - Option 2 Detailed Input'!H219</f>
        <v>0</v>
      </c>
      <c r="H188" s="343">
        <f t="shared" ref="H188:H197" si="57">SUM(J188:EJ188)</f>
        <v>0</v>
      </c>
      <c r="I188" s="211"/>
      <c r="J188" s="224">
        <f>-IF((J$3=$D$187),($C188)*J$4,)</f>
        <v>0</v>
      </c>
      <c r="K188" s="224">
        <f t="shared" ref="K188:AS195" si="58">-IF((K$3=$D$187),($C188)*K$4,)</f>
        <v>0</v>
      </c>
      <c r="L188" s="224">
        <f t="shared" si="58"/>
        <v>0</v>
      </c>
      <c r="M188" s="224">
        <f t="shared" si="58"/>
        <v>0</v>
      </c>
      <c r="N188" s="224">
        <f t="shared" si="58"/>
        <v>0</v>
      </c>
      <c r="O188" s="224">
        <f t="shared" si="58"/>
        <v>0</v>
      </c>
      <c r="P188" s="224">
        <f t="shared" si="58"/>
        <v>0</v>
      </c>
      <c r="Q188" s="224">
        <f t="shared" si="58"/>
        <v>0</v>
      </c>
      <c r="R188" s="224">
        <f t="shared" si="58"/>
        <v>0</v>
      </c>
      <c r="S188" s="224">
        <f t="shared" si="58"/>
        <v>0</v>
      </c>
      <c r="T188" s="224">
        <f t="shared" si="58"/>
        <v>0</v>
      </c>
      <c r="U188" s="224">
        <f t="shared" si="58"/>
        <v>0</v>
      </c>
      <c r="V188" s="224">
        <f t="shared" si="58"/>
        <v>0</v>
      </c>
      <c r="W188" s="224">
        <f t="shared" si="58"/>
        <v>0</v>
      </c>
      <c r="X188" s="224">
        <f t="shared" si="58"/>
        <v>0</v>
      </c>
      <c r="Y188" s="224">
        <f t="shared" si="58"/>
        <v>0</v>
      </c>
      <c r="Z188" s="224">
        <f t="shared" si="58"/>
        <v>0</v>
      </c>
      <c r="AA188" s="224">
        <f t="shared" si="58"/>
        <v>0</v>
      </c>
      <c r="AB188" s="224">
        <f t="shared" si="58"/>
        <v>0</v>
      </c>
      <c r="AC188" s="224">
        <f t="shared" si="58"/>
        <v>0</v>
      </c>
      <c r="AD188" s="224">
        <f t="shared" si="58"/>
        <v>0</v>
      </c>
      <c r="AE188" s="224">
        <f t="shared" si="58"/>
        <v>0</v>
      </c>
      <c r="AF188" s="224">
        <f t="shared" si="58"/>
        <v>0</v>
      </c>
      <c r="AG188" s="224">
        <f t="shared" si="58"/>
        <v>0</v>
      </c>
      <c r="AH188" s="224">
        <f t="shared" si="58"/>
        <v>0</v>
      </c>
      <c r="AI188" s="224">
        <f t="shared" si="58"/>
        <v>0</v>
      </c>
      <c r="AJ188" s="224">
        <f t="shared" si="58"/>
        <v>0</v>
      </c>
      <c r="AK188" s="224">
        <f t="shared" si="58"/>
        <v>0</v>
      </c>
      <c r="AL188" s="224">
        <f t="shared" si="58"/>
        <v>0</v>
      </c>
      <c r="AM188" s="224">
        <f t="shared" si="58"/>
        <v>0</v>
      </c>
      <c r="AN188" s="224">
        <f t="shared" si="58"/>
        <v>0</v>
      </c>
      <c r="AO188" s="224">
        <f t="shared" si="58"/>
        <v>0</v>
      </c>
      <c r="AP188" s="224">
        <f t="shared" si="58"/>
        <v>0</v>
      </c>
      <c r="AQ188" s="224">
        <f t="shared" si="58"/>
        <v>0</v>
      </c>
      <c r="AR188" s="224">
        <f t="shared" si="58"/>
        <v>0</v>
      </c>
      <c r="AS188" s="224">
        <f t="shared" si="58"/>
        <v>0</v>
      </c>
    </row>
    <row r="189" spans="1:45" hidden="1" outlineLevel="2">
      <c r="B189" s="9" t="str">
        <f>'Input - Option 2 Detailed Input'!$C$158</f>
        <v>Establishment checks (including collection, collation, interpretation and sharing of consistent tree establishment data )</v>
      </c>
      <c r="C189" s="44">
        <f>'Input - Option 2 Detailed Input'!H221</f>
        <v>0</v>
      </c>
      <c r="H189" s="343">
        <f t="shared" si="57"/>
        <v>0</v>
      </c>
      <c r="I189" s="211"/>
      <c r="J189" s="224">
        <f t="shared" ref="J189:Y197" si="59">-IF((J$3=$D$187),($C189)*J$4,)</f>
        <v>0</v>
      </c>
      <c r="K189" s="224">
        <f t="shared" si="59"/>
        <v>0</v>
      </c>
      <c r="L189" s="224">
        <f t="shared" si="59"/>
        <v>0</v>
      </c>
      <c r="M189" s="224">
        <f t="shared" si="59"/>
        <v>0</v>
      </c>
      <c r="N189" s="224">
        <f t="shared" si="59"/>
        <v>0</v>
      </c>
      <c r="O189" s="224">
        <f t="shared" si="59"/>
        <v>0</v>
      </c>
      <c r="P189" s="224">
        <f t="shared" si="59"/>
        <v>0</v>
      </c>
      <c r="Q189" s="224">
        <f t="shared" si="59"/>
        <v>0</v>
      </c>
      <c r="R189" s="224">
        <f t="shared" si="59"/>
        <v>0</v>
      </c>
      <c r="S189" s="224">
        <f t="shared" si="59"/>
        <v>0</v>
      </c>
      <c r="T189" s="224">
        <f t="shared" si="59"/>
        <v>0</v>
      </c>
      <c r="U189" s="224">
        <f t="shared" si="59"/>
        <v>0</v>
      </c>
      <c r="V189" s="224">
        <f t="shared" si="59"/>
        <v>0</v>
      </c>
      <c r="W189" s="224">
        <f t="shared" si="59"/>
        <v>0</v>
      </c>
      <c r="X189" s="224">
        <f t="shared" si="59"/>
        <v>0</v>
      </c>
      <c r="Y189" s="224">
        <f t="shared" si="59"/>
        <v>0</v>
      </c>
      <c r="Z189" s="224">
        <f t="shared" si="58"/>
        <v>0</v>
      </c>
      <c r="AA189" s="224">
        <f t="shared" si="58"/>
        <v>0</v>
      </c>
      <c r="AB189" s="224">
        <f t="shared" si="58"/>
        <v>0</v>
      </c>
      <c r="AC189" s="224">
        <f t="shared" si="58"/>
        <v>0</v>
      </c>
      <c r="AD189" s="224">
        <f t="shared" si="58"/>
        <v>0</v>
      </c>
      <c r="AE189" s="224">
        <f t="shared" si="58"/>
        <v>0</v>
      </c>
      <c r="AF189" s="224">
        <f t="shared" si="58"/>
        <v>0</v>
      </c>
      <c r="AG189" s="224">
        <f t="shared" si="58"/>
        <v>0</v>
      </c>
      <c r="AH189" s="224">
        <f t="shared" si="58"/>
        <v>0</v>
      </c>
      <c r="AI189" s="224">
        <f t="shared" si="58"/>
        <v>0</v>
      </c>
      <c r="AJ189" s="224">
        <f t="shared" si="58"/>
        <v>0</v>
      </c>
      <c r="AK189" s="224">
        <f t="shared" si="58"/>
        <v>0</v>
      </c>
      <c r="AL189" s="224">
        <f t="shared" si="58"/>
        <v>0</v>
      </c>
      <c r="AM189" s="224">
        <f t="shared" si="58"/>
        <v>0</v>
      </c>
      <c r="AN189" s="224">
        <f t="shared" si="58"/>
        <v>0</v>
      </c>
      <c r="AO189" s="224">
        <f t="shared" si="58"/>
        <v>0</v>
      </c>
      <c r="AP189" s="224">
        <f t="shared" si="58"/>
        <v>0</v>
      </c>
      <c r="AQ189" s="224">
        <f t="shared" si="58"/>
        <v>0</v>
      </c>
      <c r="AR189" s="224">
        <f t="shared" si="58"/>
        <v>0</v>
      </c>
      <c r="AS189" s="224">
        <f t="shared" si="58"/>
        <v>0</v>
      </c>
    </row>
    <row r="190" spans="1:45" hidden="1" outlineLevel="2">
      <c r="B190" s="9" t="str">
        <f>'Input - Option 2 Detailed Input'!$C$159</f>
        <v>Maintenance, removal and/or disposal of (where relevant) stakes, ties, and guard, grills, concrete rings, base surrounds, tree protection, etc.</v>
      </c>
      <c r="C190" s="44">
        <f>'Input - Option 2 Detailed Input'!H222</f>
        <v>0</v>
      </c>
      <c r="H190" s="343">
        <f t="shared" si="57"/>
        <v>0</v>
      </c>
      <c r="I190" s="211"/>
      <c r="J190" s="224">
        <f t="shared" si="59"/>
        <v>0</v>
      </c>
      <c r="K190" s="224">
        <f t="shared" si="58"/>
        <v>0</v>
      </c>
      <c r="L190" s="224">
        <f t="shared" si="58"/>
        <v>0</v>
      </c>
      <c r="M190" s="224">
        <f t="shared" si="58"/>
        <v>0</v>
      </c>
      <c r="N190" s="224">
        <f t="shared" si="58"/>
        <v>0</v>
      </c>
      <c r="O190" s="224">
        <f t="shared" si="58"/>
        <v>0</v>
      </c>
      <c r="P190" s="224">
        <f t="shared" si="58"/>
        <v>0</v>
      </c>
      <c r="Q190" s="224">
        <f t="shared" si="58"/>
        <v>0</v>
      </c>
      <c r="R190" s="224">
        <f t="shared" si="58"/>
        <v>0</v>
      </c>
      <c r="S190" s="224">
        <f t="shared" si="58"/>
        <v>0</v>
      </c>
      <c r="T190" s="224">
        <f t="shared" si="58"/>
        <v>0</v>
      </c>
      <c r="U190" s="224">
        <f t="shared" si="58"/>
        <v>0</v>
      </c>
      <c r="V190" s="224">
        <f t="shared" si="58"/>
        <v>0</v>
      </c>
      <c r="W190" s="224">
        <f t="shared" si="58"/>
        <v>0</v>
      </c>
      <c r="X190" s="224">
        <f t="shared" si="58"/>
        <v>0</v>
      </c>
      <c r="Y190" s="224">
        <f t="shared" si="58"/>
        <v>0</v>
      </c>
      <c r="Z190" s="224">
        <f t="shared" si="58"/>
        <v>0</v>
      </c>
      <c r="AA190" s="224">
        <f t="shared" si="58"/>
        <v>0</v>
      </c>
      <c r="AB190" s="224">
        <f t="shared" si="58"/>
        <v>0</v>
      </c>
      <c r="AC190" s="224">
        <f t="shared" si="58"/>
        <v>0</v>
      </c>
      <c r="AD190" s="224">
        <f t="shared" si="58"/>
        <v>0</v>
      </c>
      <c r="AE190" s="224">
        <f t="shared" si="58"/>
        <v>0</v>
      </c>
      <c r="AF190" s="224">
        <f t="shared" si="58"/>
        <v>0</v>
      </c>
      <c r="AG190" s="224">
        <f t="shared" si="58"/>
        <v>0</v>
      </c>
      <c r="AH190" s="224">
        <f t="shared" si="58"/>
        <v>0</v>
      </c>
      <c r="AI190" s="224">
        <f t="shared" si="58"/>
        <v>0</v>
      </c>
      <c r="AJ190" s="224">
        <f t="shared" si="58"/>
        <v>0</v>
      </c>
      <c r="AK190" s="224">
        <f t="shared" si="58"/>
        <v>0</v>
      </c>
      <c r="AL190" s="224">
        <f t="shared" si="58"/>
        <v>0</v>
      </c>
      <c r="AM190" s="224">
        <f t="shared" si="58"/>
        <v>0</v>
      </c>
      <c r="AN190" s="224">
        <f t="shared" si="58"/>
        <v>0</v>
      </c>
      <c r="AO190" s="224">
        <f t="shared" si="58"/>
        <v>0</v>
      </c>
      <c r="AP190" s="224">
        <f t="shared" si="58"/>
        <v>0</v>
      </c>
      <c r="AQ190" s="224">
        <f t="shared" si="58"/>
        <v>0</v>
      </c>
      <c r="AR190" s="224">
        <f t="shared" si="58"/>
        <v>0</v>
      </c>
      <c r="AS190" s="224">
        <f t="shared" si="58"/>
        <v>0</v>
      </c>
    </row>
    <row r="191" spans="1:45" hidden="1" outlineLevel="2">
      <c r="B191" s="9" t="str">
        <f>'Input - Option 2 Detailed Input'!$C$160</f>
        <v xml:space="preserve">Safety inspection cost </v>
      </c>
      <c r="C191" s="44">
        <f>'Input - Option 2 Detailed Input'!H223</f>
        <v>0</v>
      </c>
      <c r="H191" s="343">
        <f t="shared" si="57"/>
        <v>0</v>
      </c>
      <c r="I191" s="211"/>
      <c r="J191" s="224">
        <f t="shared" si="59"/>
        <v>0</v>
      </c>
      <c r="K191" s="224">
        <f t="shared" si="58"/>
        <v>0</v>
      </c>
      <c r="L191" s="224">
        <f t="shared" si="58"/>
        <v>0</v>
      </c>
      <c r="M191" s="224">
        <f t="shared" si="58"/>
        <v>0</v>
      </c>
      <c r="N191" s="224">
        <f t="shared" si="58"/>
        <v>0</v>
      </c>
      <c r="O191" s="224">
        <f t="shared" si="58"/>
        <v>0</v>
      </c>
      <c r="P191" s="224">
        <f t="shared" si="58"/>
        <v>0</v>
      </c>
      <c r="Q191" s="224">
        <f t="shared" si="58"/>
        <v>0</v>
      </c>
      <c r="R191" s="224">
        <f t="shared" si="58"/>
        <v>0</v>
      </c>
      <c r="S191" s="224">
        <f t="shared" si="58"/>
        <v>0</v>
      </c>
      <c r="T191" s="224">
        <f t="shared" si="58"/>
        <v>0</v>
      </c>
      <c r="U191" s="224">
        <f t="shared" si="58"/>
        <v>0</v>
      </c>
      <c r="V191" s="224">
        <f t="shared" si="58"/>
        <v>0</v>
      </c>
      <c r="W191" s="224">
        <f t="shared" si="58"/>
        <v>0</v>
      </c>
      <c r="X191" s="224">
        <f t="shared" si="58"/>
        <v>0</v>
      </c>
      <c r="Y191" s="224">
        <f t="shared" si="58"/>
        <v>0</v>
      </c>
      <c r="Z191" s="224">
        <f t="shared" si="58"/>
        <v>0</v>
      </c>
      <c r="AA191" s="224">
        <f t="shared" si="58"/>
        <v>0</v>
      </c>
      <c r="AB191" s="224">
        <f t="shared" si="58"/>
        <v>0</v>
      </c>
      <c r="AC191" s="224">
        <f t="shared" si="58"/>
        <v>0</v>
      </c>
      <c r="AD191" s="224">
        <f t="shared" si="58"/>
        <v>0</v>
      </c>
      <c r="AE191" s="224">
        <f t="shared" si="58"/>
        <v>0</v>
      </c>
      <c r="AF191" s="224">
        <f t="shared" si="58"/>
        <v>0</v>
      </c>
      <c r="AG191" s="224">
        <f t="shared" si="58"/>
        <v>0</v>
      </c>
      <c r="AH191" s="224">
        <f t="shared" si="58"/>
        <v>0</v>
      </c>
      <c r="AI191" s="224">
        <f t="shared" si="58"/>
        <v>0</v>
      </c>
      <c r="AJ191" s="224">
        <f t="shared" si="58"/>
        <v>0</v>
      </c>
      <c r="AK191" s="224">
        <f t="shared" si="58"/>
        <v>0</v>
      </c>
      <c r="AL191" s="224">
        <f t="shared" si="58"/>
        <v>0</v>
      </c>
      <c r="AM191" s="224">
        <f t="shared" si="58"/>
        <v>0</v>
      </c>
      <c r="AN191" s="224">
        <f t="shared" si="58"/>
        <v>0</v>
      </c>
      <c r="AO191" s="224">
        <f t="shared" si="58"/>
        <v>0</v>
      </c>
      <c r="AP191" s="224">
        <f t="shared" si="58"/>
        <v>0</v>
      </c>
      <c r="AQ191" s="224">
        <f t="shared" si="58"/>
        <v>0</v>
      </c>
      <c r="AR191" s="224">
        <f t="shared" si="58"/>
        <v>0</v>
      </c>
      <c r="AS191" s="224">
        <f t="shared" si="58"/>
        <v>0</v>
      </c>
    </row>
    <row r="192" spans="1:45" hidden="1" outlineLevel="2">
      <c r="B192" s="9" t="str">
        <f>'Input - Option 2 Detailed Input'!$C$161</f>
        <v xml:space="preserve">Crown lifting </v>
      </c>
      <c r="C192" s="44">
        <f>'Input - Option 2 Detailed Input'!H224</f>
        <v>0</v>
      </c>
      <c r="H192" s="343">
        <f t="shared" si="57"/>
        <v>0</v>
      </c>
      <c r="I192" s="211"/>
      <c r="J192" s="224">
        <f t="shared" si="59"/>
        <v>0</v>
      </c>
      <c r="K192" s="224">
        <f t="shared" si="58"/>
        <v>0</v>
      </c>
      <c r="L192" s="224">
        <f t="shared" si="58"/>
        <v>0</v>
      </c>
      <c r="M192" s="224">
        <f t="shared" si="58"/>
        <v>0</v>
      </c>
      <c r="N192" s="224">
        <f t="shared" si="58"/>
        <v>0</v>
      </c>
      <c r="O192" s="224">
        <f t="shared" si="58"/>
        <v>0</v>
      </c>
      <c r="P192" s="224">
        <f t="shared" si="58"/>
        <v>0</v>
      </c>
      <c r="Q192" s="224">
        <f t="shared" si="58"/>
        <v>0</v>
      </c>
      <c r="R192" s="224">
        <f t="shared" si="58"/>
        <v>0</v>
      </c>
      <c r="S192" s="224">
        <f t="shared" si="58"/>
        <v>0</v>
      </c>
      <c r="T192" s="224">
        <f t="shared" si="58"/>
        <v>0</v>
      </c>
      <c r="U192" s="224">
        <f t="shared" si="58"/>
        <v>0</v>
      </c>
      <c r="V192" s="224">
        <f t="shared" si="58"/>
        <v>0</v>
      </c>
      <c r="W192" s="224">
        <f t="shared" si="58"/>
        <v>0</v>
      </c>
      <c r="X192" s="224">
        <f t="shared" si="58"/>
        <v>0</v>
      </c>
      <c r="Y192" s="224">
        <f t="shared" si="58"/>
        <v>0</v>
      </c>
      <c r="Z192" s="224">
        <f t="shared" si="58"/>
        <v>0</v>
      </c>
      <c r="AA192" s="224">
        <f t="shared" si="58"/>
        <v>0</v>
      </c>
      <c r="AB192" s="224">
        <f t="shared" si="58"/>
        <v>0</v>
      </c>
      <c r="AC192" s="224">
        <f t="shared" si="58"/>
        <v>0</v>
      </c>
      <c r="AD192" s="224">
        <f t="shared" si="58"/>
        <v>0</v>
      </c>
      <c r="AE192" s="224">
        <f t="shared" si="58"/>
        <v>0</v>
      </c>
      <c r="AF192" s="224">
        <f t="shared" si="58"/>
        <v>0</v>
      </c>
      <c r="AG192" s="224">
        <f t="shared" si="58"/>
        <v>0</v>
      </c>
      <c r="AH192" s="224">
        <f t="shared" si="58"/>
        <v>0</v>
      </c>
      <c r="AI192" s="224">
        <f t="shared" si="58"/>
        <v>0</v>
      </c>
      <c r="AJ192" s="224">
        <f t="shared" si="58"/>
        <v>0</v>
      </c>
      <c r="AK192" s="224">
        <f t="shared" si="58"/>
        <v>0</v>
      </c>
      <c r="AL192" s="224">
        <f t="shared" si="58"/>
        <v>0</v>
      </c>
      <c r="AM192" s="224">
        <f t="shared" si="58"/>
        <v>0</v>
      </c>
      <c r="AN192" s="224">
        <f t="shared" si="58"/>
        <v>0</v>
      </c>
      <c r="AO192" s="224">
        <f t="shared" si="58"/>
        <v>0</v>
      </c>
      <c r="AP192" s="224">
        <f t="shared" si="58"/>
        <v>0</v>
      </c>
      <c r="AQ192" s="224">
        <f t="shared" si="58"/>
        <v>0</v>
      </c>
      <c r="AR192" s="224">
        <f t="shared" si="58"/>
        <v>0</v>
      </c>
      <c r="AS192" s="224">
        <f t="shared" si="58"/>
        <v>0</v>
      </c>
    </row>
    <row r="193" spans="1:45" hidden="1" outlineLevel="2">
      <c r="B193" s="9" t="str">
        <f>'Input - Option 2 Detailed Input'!$C$162</f>
        <v>Deadwood cleanout</v>
      </c>
      <c r="C193" s="44">
        <f>'Input - Option 2 Detailed Input'!H225</f>
        <v>0</v>
      </c>
      <c r="H193" s="343">
        <f t="shared" si="57"/>
        <v>0</v>
      </c>
      <c r="I193" s="211"/>
      <c r="J193" s="224">
        <f t="shared" si="59"/>
        <v>0</v>
      </c>
      <c r="K193" s="224">
        <f t="shared" si="58"/>
        <v>0</v>
      </c>
      <c r="L193" s="224">
        <f t="shared" si="58"/>
        <v>0</v>
      </c>
      <c r="M193" s="224">
        <f t="shared" si="58"/>
        <v>0</v>
      </c>
      <c r="N193" s="224">
        <f t="shared" si="58"/>
        <v>0</v>
      </c>
      <c r="O193" s="224">
        <f t="shared" si="58"/>
        <v>0</v>
      </c>
      <c r="P193" s="224">
        <f t="shared" si="58"/>
        <v>0</v>
      </c>
      <c r="Q193" s="224">
        <f t="shared" si="58"/>
        <v>0</v>
      </c>
      <c r="R193" s="224">
        <f t="shared" si="58"/>
        <v>0</v>
      </c>
      <c r="S193" s="224">
        <f t="shared" si="58"/>
        <v>0</v>
      </c>
      <c r="T193" s="224">
        <f t="shared" si="58"/>
        <v>0</v>
      </c>
      <c r="U193" s="224">
        <f t="shared" si="58"/>
        <v>0</v>
      </c>
      <c r="V193" s="224">
        <f t="shared" si="58"/>
        <v>0</v>
      </c>
      <c r="W193" s="224">
        <f t="shared" si="58"/>
        <v>0</v>
      </c>
      <c r="X193" s="224">
        <f t="shared" si="58"/>
        <v>0</v>
      </c>
      <c r="Y193" s="224">
        <f t="shared" si="58"/>
        <v>0</v>
      </c>
      <c r="Z193" s="224">
        <f t="shared" si="58"/>
        <v>0</v>
      </c>
      <c r="AA193" s="224">
        <f t="shared" si="58"/>
        <v>0</v>
      </c>
      <c r="AB193" s="224">
        <f t="shared" si="58"/>
        <v>0</v>
      </c>
      <c r="AC193" s="224">
        <f t="shared" si="58"/>
        <v>0</v>
      </c>
      <c r="AD193" s="224">
        <f t="shared" si="58"/>
        <v>0</v>
      </c>
      <c r="AE193" s="224">
        <f t="shared" si="58"/>
        <v>0</v>
      </c>
      <c r="AF193" s="224">
        <f t="shared" si="58"/>
        <v>0</v>
      </c>
      <c r="AG193" s="224">
        <f t="shared" si="58"/>
        <v>0</v>
      </c>
      <c r="AH193" s="224">
        <f t="shared" si="58"/>
        <v>0</v>
      </c>
      <c r="AI193" s="224">
        <f t="shared" si="58"/>
        <v>0</v>
      </c>
      <c r="AJ193" s="224">
        <f t="shared" si="58"/>
        <v>0</v>
      </c>
      <c r="AK193" s="224">
        <f t="shared" si="58"/>
        <v>0</v>
      </c>
      <c r="AL193" s="224">
        <f t="shared" si="58"/>
        <v>0</v>
      </c>
      <c r="AM193" s="224">
        <f t="shared" si="58"/>
        <v>0</v>
      </c>
      <c r="AN193" s="224">
        <f t="shared" si="58"/>
        <v>0</v>
      </c>
      <c r="AO193" s="224">
        <f t="shared" si="58"/>
        <v>0</v>
      </c>
      <c r="AP193" s="224">
        <f t="shared" si="58"/>
        <v>0</v>
      </c>
      <c r="AQ193" s="224">
        <f t="shared" si="58"/>
        <v>0</v>
      </c>
      <c r="AR193" s="224">
        <f t="shared" si="58"/>
        <v>0</v>
      </c>
      <c r="AS193" s="224">
        <f t="shared" si="58"/>
        <v>0</v>
      </c>
    </row>
    <row r="194" spans="1:45" hidden="1" outlineLevel="2">
      <c r="B194" s="9" t="str">
        <f>'Input - Option 2 Detailed Input'!$C$163</f>
        <v>Additional costs related for specialist pruning regimes</v>
      </c>
      <c r="C194" s="44">
        <f>'Input - Option 2 Detailed Input'!H226</f>
        <v>0</v>
      </c>
      <c r="H194" s="343">
        <f t="shared" si="57"/>
        <v>0</v>
      </c>
      <c r="I194" s="211"/>
      <c r="J194" s="224">
        <f t="shared" si="59"/>
        <v>0</v>
      </c>
      <c r="K194" s="224">
        <f t="shared" si="58"/>
        <v>0</v>
      </c>
      <c r="L194" s="224">
        <f t="shared" si="58"/>
        <v>0</v>
      </c>
      <c r="M194" s="224">
        <f t="shared" si="58"/>
        <v>0</v>
      </c>
      <c r="N194" s="224">
        <f t="shared" si="58"/>
        <v>0</v>
      </c>
      <c r="O194" s="224">
        <f t="shared" si="58"/>
        <v>0</v>
      </c>
      <c r="P194" s="224">
        <f t="shared" si="58"/>
        <v>0</v>
      </c>
      <c r="Q194" s="224">
        <f t="shared" si="58"/>
        <v>0</v>
      </c>
      <c r="R194" s="224">
        <f t="shared" si="58"/>
        <v>0</v>
      </c>
      <c r="S194" s="224">
        <f t="shared" si="58"/>
        <v>0</v>
      </c>
      <c r="T194" s="224">
        <f t="shared" si="58"/>
        <v>0</v>
      </c>
      <c r="U194" s="224">
        <f t="shared" si="58"/>
        <v>0</v>
      </c>
      <c r="V194" s="224">
        <f t="shared" si="58"/>
        <v>0</v>
      </c>
      <c r="W194" s="224">
        <f t="shared" si="58"/>
        <v>0</v>
      </c>
      <c r="X194" s="224">
        <f t="shared" si="58"/>
        <v>0</v>
      </c>
      <c r="Y194" s="224">
        <f t="shared" si="58"/>
        <v>0</v>
      </c>
      <c r="Z194" s="224">
        <f t="shared" si="58"/>
        <v>0</v>
      </c>
      <c r="AA194" s="224">
        <f t="shared" si="58"/>
        <v>0</v>
      </c>
      <c r="AB194" s="224">
        <f t="shared" si="58"/>
        <v>0</v>
      </c>
      <c r="AC194" s="224">
        <f t="shared" si="58"/>
        <v>0</v>
      </c>
      <c r="AD194" s="224">
        <f t="shared" si="58"/>
        <v>0</v>
      </c>
      <c r="AE194" s="224">
        <f t="shared" si="58"/>
        <v>0</v>
      </c>
      <c r="AF194" s="224">
        <f t="shared" si="58"/>
        <v>0</v>
      </c>
      <c r="AG194" s="224">
        <f t="shared" si="58"/>
        <v>0</v>
      </c>
      <c r="AH194" s="224">
        <f t="shared" si="58"/>
        <v>0</v>
      </c>
      <c r="AI194" s="224">
        <f t="shared" si="58"/>
        <v>0</v>
      </c>
      <c r="AJ194" s="224">
        <f t="shared" si="58"/>
        <v>0</v>
      </c>
      <c r="AK194" s="224">
        <f t="shared" si="58"/>
        <v>0</v>
      </c>
      <c r="AL194" s="224">
        <f t="shared" si="58"/>
        <v>0</v>
      </c>
      <c r="AM194" s="224">
        <f t="shared" si="58"/>
        <v>0</v>
      </c>
      <c r="AN194" s="224">
        <f t="shared" si="58"/>
        <v>0</v>
      </c>
      <c r="AO194" s="224">
        <f t="shared" si="58"/>
        <v>0</v>
      </c>
      <c r="AP194" s="224">
        <f t="shared" si="58"/>
        <v>0</v>
      </c>
      <c r="AQ194" s="224">
        <f t="shared" si="58"/>
        <v>0</v>
      </c>
      <c r="AR194" s="224">
        <f t="shared" si="58"/>
        <v>0</v>
      </c>
      <c r="AS194" s="224">
        <f t="shared" si="58"/>
        <v>0</v>
      </c>
    </row>
    <row r="195" spans="1:45" hidden="1" outlineLevel="2">
      <c r="B195" s="9" t="str">
        <f>'Input - Option 2 Detailed Input'!$C$164</f>
        <v>Weeding</v>
      </c>
      <c r="C195" s="44">
        <f>'Input - Option 2 Detailed Input'!H227</f>
        <v>0</v>
      </c>
      <c r="H195" s="343">
        <f t="shared" si="57"/>
        <v>0</v>
      </c>
      <c r="I195" s="211"/>
      <c r="J195" s="224">
        <f t="shared" si="59"/>
        <v>0</v>
      </c>
      <c r="K195" s="224">
        <f t="shared" si="58"/>
        <v>0</v>
      </c>
      <c r="L195" s="224">
        <f t="shared" si="58"/>
        <v>0</v>
      </c>
      <c r="M195" s="224">
        <f t="shared" si="58"/>
        <v>0</v>
      </c>
      <c r="N195" s="224">
        <f t="shared" si="58"/>
        <v>0</v>
      </c>
      <c r="O195" s="224">
        <f t="shared" si="58"/>
        <v>0</v>
      </c>
      <c r="P195" s="224">
        <f t="shared" si="58"/>
        <v>0</v>
      </c>
      <c r="Q195" s="224">
        <f t="shared" si="58"/>
        <v>0</v>
      </c>
      <c r="R195" s="224">
        <f t="shared" si="58"/>
        <v>0</v>
      </c>
      <c r="S195" s="224">
        <f t="shared" si="58"/>
        <v>0</v>
      </c>
      <c r="T195" s="224">
        <f t="shared" si="58"/>
        <v>0</v>
      </c>
      <c r="U195" s="224">
        <f t="shared" si="58"/>
        <v>0</v>
      </c>
      <c r="V195" s="224">
        <f t="shared" si="58"/>
        <v>0</v>
      </c>
      <c r="W195" s="224">
        <f t="shared" si="58"/>
        <v>0</v>
      </c>
      <c r="X195" s="224">
        <f t="shared" si="58"/>
        <v>0</v>
      </c>
      <c r="Y195" s="224">
        <f t="shared" si="58"/>
        <v>0</v>
      </c>
      <c r="Z195" s="224">
        <f t="shared" si="58"/>
        <v>0</v>
      </c>
      <c r="AA195" s="224">
        <f t="shared" si="58"/>
        <v>0</v>
      </c>
      <c r="AB195" s="224">
        <f t="shared" si="58"/>
        <v>0</v>
      </c>
      <c r="AC195" s="224">
        <f t="shared" si="58"/>
        <v>0</v>
      </c>
      <c r="AD195" s="224">
        <f t="shared" si="58"/>
        <v>0</v>
      </c>
      <c r="AE195" s="224">
        <f t="shared" si="58"/>
        <v>0</v>
      </c>
      <c r="AF195" s="224">
        <f t="shared" si="58"/>
        <v>0</v>
      </c>
      <c r="AG195" s="224">
        <f t="shared" si="58"/>
        <v>0</v>
      </c>
      <c r="AH195" s="224">
        <f t="shared" si="58"/>
        <v>0</v>
      </c>
      <c r="AI195" s="224">
        <f t="shared" si="58"/>
        <v>0</v>
      </c>
      <c r="AJ195" s="224">
        <f t="shared" ref="K195:AS197" si="60">-IF((AJ$3=$D$187),($C195)*AJ$4,)</f>
        <v>0</v>
      </c>
      <c r="AK195" s="224">
        <f t="shared" si="60"/>
        <v>0</v>
      </c>
      <c r="AL195" s="224">
        <f t="shared" si="60"/>
        <v>0</v>
      </c>
      <c r="AM195" s="224">
        <f t="shared" si="60"/>
        <v>0</v>
      </c>
      <c r="AN195" s="224">
        <f t="shared" si="60"/>
        <v>0</v>
      </c>
      <c r="AO195" s="224">
        <f t="shared" si="60"/>
        <v>0</v>
      </c>
      <c r="AP195" s="224">
        <f t="shared" si="60"/>
        <v>0</v>
      </c>
      <c r="AQ195" s="224">
        <f t="shared" si="60"/>
        <v>0</v>
      </c>
      <c r="AR195" s="224">
        <f t="shared" si="60"/>
        <v>0</v>
      </c>
      <c r="AS195" s="224">
        <f t="shared" si="60"/>
        <v>0</v>
      </c>
    </row>
    <row r="196" spans="1:45" hidden="1" outlineLevel="2">
      <c r="B196" s="9" t="str">
        <f>'Input - Option 2 Detailed Input'!$C$165</f>
        <v>Epicormic growth removal </v>
      </c>
      <c r="C196" s="44">
        <f>'Input - Option 2 Detailed Input'!H228</f>
        <v>0</v>
      </c>
      <c r="H196" s="343">
        <f t="shared" si="57"/>
        <v>0</v>
      </c>
      <c r="I196" s="211"/>
      <c r="J196" s="224">
        <f t="shared" si="59"/>
        <v>0</v>
      </c>
      <c r="K196" s="224">
        <f t="shared" si="60"/>
        <v>0</v>
      </c>
      <c r="L196" s="224">
        <f t="shared" si="60"/>
        <v>0</v>
      </c>
      <c r="M196" s="224">
        <f t="shared" si="60"/>
        <v>0</v>
      </c>
      <c r="N196" s="224">
        <f t="shared" si="60"/>
        <v>0</v>
      </c>
      <c r="O196" s="224">
        <f t="shared" si="60"/>
        <v>0</v>
      </c>
      <c r="P196" s="224">
        <f t="shared" si="60"/>
        <v>0</v>
      </c>
      <c r="Q196" s="224">
        <f t="shared" si="60"/>
        <v>0</v>
      </c>
      <c r="R196" s="224">
        <f t="shared" si="60"/>
        <v>0</v>
      </c>
      <c r="S196" s="224">
        <f t="shared" si="60"/>
        <v>0</v>
      </c>
      <c r="T196" s="224">
        <f t="shared" si="60"/>
        <v>0</v>
      </c>
      <c r="U196" s="224">
        <f t="shared" si="60"/>
        <v>0</v>
      </c>
      <c r="V196" s="224">
        <f t="shared" si="60"/>
        <v>0</v>
      </c>
      <c r="W196" s="224">
        <f t="shared" si="60"/>
        <v>0</v>
      </c>
      <c r="X196" s="224">
        <f t="shared" si="60"/>
        <v>0</v>
      </c>
      <c r="Y196" s="224">
        <f t="shared" si="60"/>
        <v>0</v>
      </c>
      <c r="Z196" s="224">
        <f t="shared" si="60"/>
        <v>0</v>
      </c>
      <c r="AA196" s="224">
        <f t="shared" si="60"/>
        <v>0</v>
      </c>
      <c r="AB196" s="224">
        <f t="shared" si="60"/>
        <v>0</v>
      </c>
      <c r="AC196" s="224">
        <f t="shared" si="60"/>
        <v>0</v>
      </c>
      <c r="AD196" s="224">
        <f t="shared" si="60"/>
        <v>0</v>
      </c>
      <c r="AE196" s="224">
        <f t="shared" si="60"/>
        <v>0</v>
      </c>
      <c r="AF196" s="224">
        <f t="shared" si="60"/>
        <v>0</v>
      </c>
      <c r="AG196" s="224">
        <f t="shared" si="60"/>
        <v>0</v>
      </c>
      <c r="AH196" s="224">
        <f t="shared" si="60"/>
        <v>0</v>
      </c>
      <c r="AI196" s="224">
        <f t="shared" si="60"/>
        <v>0</v>
      </c>
      <c r="AJ196" s="224">
        <f t="shared" si="60"/>
        <v>0</v>
      </c>
      <c r="AK196" s="224">
        <f t="shared" si="60"/>
        <v>0</v>
      </c>
      <c r="AL196" s="224">
        <f t="shared" si="60"/>
        <v>0</v>
      </c>
      <c r="AM196" s="224">
        <f t="shared" si="60"/>
        <v>0</v>
      </c>
      <c r="AN196" s="224">
        <f t="shared" si="60"/>
        <v>0</v>
      </c>
      <c r="AO196" s="224">
        <f t="shared" si="60"/>
        <v>0</v>
      </c>
      <c r="AP196" s="224">
        <f t="shared" si="60"/>
        <v>0</v>
      </c>
      <c r="AQ196" s="224">
        <f t="shared" si="60"/>
        <v>0</v>
      </c>
      <c r="AR196" s="224">
        <f t="shared" si="60"/>
        <v>0</v>
      </c>
      <c r="AS196" s="224">
        <f t="shared" si="60"/>
        <v>0</v>
      </c>
    </row>
    <row r="197" spans="1:45" hidden="1" outlineLevel="2">
      <c r="B197" s="9" t="str">
        <f>'Input - Option 2 Detailed Input'!$C$166</f>
        <v xml:space="preserve">Costs associated with standpipes </v>
      </c>
      <c r="C197" s="44">
        <f>'Input - Option 2 Detailed Input'!H229</f>
        <v>0</v>
      </c>
      <c r="H197" s="343">
        <f t="shared" si="57"/>
        <v>0</v>
      </c>
      <c r="I197" s="211"/>
      <c r="J197" s="224">
        <f t="shared" si="59"/>
        <v>0</v>
      </c>
      <c r="K197" s="224">
        <f t="shared" si="60"/>
        <v>0</v>
      </c>
      <c r="L197" s="224">
        <f t="shared" si="60"/>
        <v>0</v>
      </c>
      <c r="M197" s="224">
        <f t="shared" si="60"/>
        <v>0</v>
      </c>
      <c r="N197" s="224">
        <f t="shared" si="60"/>
        <v>0</v>
      </c>
      <c r="O197" s="224">
        <f t="shared" si="60"/>
        <v>0</v>
      </c>
      <c r="P197" s="224">
        <f t="shared" si="60"/>
        <v>0</v>
      </c>
      <c r="Q197" s="224">
        <f t="shared" si="60"/>
        <v>0</v>
      </c>
      <c r="R197" s="224">
        <f t="shared" si="60"/>
        <v>0</v>
      </c>
      <c r="S197" s="224">
        <f t="shared" si="60"/>
        <v>0</v>
      </c>
      <c r="T197" s="224">
        <f t="shared" si="60"/>
        <v>0</v>
      </c>
      <c r="U197" s="224">
        <f t="shared" si="60"/>
        <v>0</v>
      </c>
      <c r="V197" s="224">
        <f t="shared" si="60"/>
        <v>0</v>
      </c>
      <c r="W197" s="224">
        <f t="shared" si="60"/>
        <v>0</v>
      </c>
      <c r="X197" s="224">
        <f t="shared" si="60"/>
        <v>0</v>
      </c>
      <c r="Y197" s="224">
        <f t="shared" si="60"/>
        <v>0</v>
      </c>
      <c r="Z197" s="224">
        <f t="shared" si="60"/>
        <v>0</v>
      </c>
      <c r="AA197" s="224">
        <f t="shared" si="60"/>
        <v>0</v>
      </c>
      <c r="AB197" s="224">
        <f t="shared" si="60"/>
        <v>0</v>
      </c>
      <c r="AC197" s="224">
        <f t="shared" si="60"/>
        <v>0</v>
      </c>
      <c r="AD197" s="224">
        <f t="shared" si="60"/>
        <v>0</v>
      </c>
      <c r="AE197" s="224">
        <f t="shared" si="60"/>
        <v>0</v>
      </c>
      <c r="AF197" s="224">
        <f t="shared" si="60"/>
        <v>0</v>
      </c>
      <c r="AG197" s="224">
        <f t="shared" si="60"/>
        <v>0</v>
      </c>
      <c r="AH197" s="224">
        <f t="shared" si="60"/>
        <v>0</v>
      </c>
      <c r="AI197" s="224">
        <f t="shared" si="60"/>
        <v>0</v>
      </c>
      <c r="AJ197" s="224">
        <f t="shared" si="60"/>
        <v>0</v>
      </c>
      <c r="AK197" s="224">
        <f t="shared" si="60"/>
        <v>0</v>
      </c>
      <c r="AL197" s="224">
        <f t="shared" si="60"/>
        <v>0</v>
      </c>
      <c r="AM197" s="224">
        <f t="shared" si="60"/>
        <v>0</v>
      </c>
      <c r="AN197" s="224">
        <f t="shared" si="60"/>
        <v>0</v>
      </c>
      <c r="AO197" s="224">
        <f t="shared" si="60"/>
        <v>0</v>
      </c>
      <c r="AP197" s="224">
        <f t="shared" si="60"/>
        <v>0</v>
      </c>
      <c r="AQ197" s="224">
        <f t="shared" si="60"/>
        <v>0</v>
      </c>
      <c r="AR197" s="224">
        <f t="shared" si="60"/>
        <v>0</v>
      </c>
      <c r="AS197" s="224">
        <f t="shared" si="60"/>
        <v>0</v>
      </c>
    </row>
    <row r="198" spans="1:45" hidden="1" outlineLevel="2">
      <c r="H198" s="343"/>
      <c r="I198" s="213"/>
      <c r="J198" s="224"/>
      <c r="K198" s="224"/>
      <c r="L198" s="224"/>
      <c r="M198" s="224"/>
      <c r="N198" s="224"/>
      <c r="O198" s="224"/>
      <c r="P198" s="224"/>
      <c r="Q198" s="224"/>
      <c r="R198" s="224"/>
      <c r="S198" s="224"/>
      <c r="T198" s="224"/>
      <c r="U198" s="224"/>
      <c r="V198" s="224"/>
      <c r="W198" s="224"/>
      <c r="X198" s="224"/>
      <c r="Y198" s="224"/>
      <c r="Z198" s="224"/>
      <c r="AA198" s="224"/>
      <c r="AB198" s="224"/>
      <c r="AC198" s="224"/>
      <c r="AD198" s="224"/>
      <c r="AE198" s="224"/>
      <c r="AF198" s="224"/>
      <c r="AG198" s="224"/>
      <c r="AH198" s="224"/>
      <c r="AI198" s="224"/>
      <c r="AJ198" s="224"/>
      <c r="AK198" s="224"/>
      <c r="AL198" s="224"/>
      <c r="AM198" s="224"/>
      <c r="AN198" s="224"/>
      <c r="AO198" s="224"/>
      <c r="AP198" s="224"/>
      <c r="AQ198" s="224"/>
      <c r="AR198" s="224"/>
      <c r="AS198" s="224"/>
    </row>
    <row r="199" spans="1:45" hidden="1" outlineLevel="2">
      <c r="B199" s="103" t="str">
        <f>'Input - Option 2 Detailed Input'!C231</f>
        <v>Year 4 - Additional Costs</v>
      </c>
      <c r="C199" s="25" t="str">
        <f>'Input - Option 2 Detailed Input'!G231</f>
        <v>Total Costs (per visit)</v>
      </c>
      <c r="H199" s="343"/>
      <c r="I199" s="213"/>
      <c r="J199" s="224"/>
      <c r="K199" s="224"/>
      <c r="L199" s="224"/>
      <c r="M199" s="224"/>
      <c r="N199" s="224"/>
      <c r="O199" s="224"/>
      <c r="P199" s="224"/>
      <c r="Q199" s="224"/>
      <c r="R199" s="224"/>
      <c r="S199" s="224"/>
      <c r="T199" s="224"/>
      <c r="U199" s="224"/>
      <c r="V199" s="224"/>
      <c r="W199" s="224"/>
      <c r="X199" s="224"/>
      <c r="Y199" s="224"/>
      <c r="Z199" s="224"/>
      <c r="AA199" s="224"/>
      <c r="AB199" s="224"/>
      <c r="AC199" s="224"/>
      <c r="AD199" s="224"/>
      <c r="AE199" s="224"/>
      <c r="AF199" s="224"/>
      <c r="AG199" s="224"/>
      <c r="AH199" s="224"/>
      <c r="AI199" s="224"/>
      <c r="AJ199" s="224"/>
      <c r="AK199" s="224"/>
      <c r="AL199" s="224"/>
      <c r="AM199" s="224"/>
      <c r="AN199" s="224"/>
      <c r="AO199" s="224"/>
      <c r="AP199" s="224"/>
      <c r="AQ199" s="224"/>
      <c r="AR199" s="224"/>
      <c r="AS199" s="224"/>
    </row>
    <row r="200" spans="1:45" hidden="1" outlineLevel="2">
      <c r="B200" s="9" t="str">
        <f>'Input - Option 2 Detailed Input'!C232</f>
        <v xml:space="preserve">[Additional costs #1] </v>
      </c>
      <c r="C200" s="44">
        <f>'Input - Option 2 Detailed Input'!G232</f>
        <v>0</v>
      </c>
      <c r="H200" s="343">
        <f>SUM(J200:EJ200)</f>
        <v>0</v>
      </c>
      <c r="I200" s="211"/>
      <c r="J200" s="224">
        <f>-IF((J$3=$D$187),($C200)*J$4,)</f>
        <v>0</v>
      </c>
      <c r="K200" s="224">
        <f t="shared" ref="K200:AS204" si="61">-IF((K$3=$D$187),($C200)*K$4,)</f>
        <v>0</v>
      </c>
      <c r="L200" s="224">
        <f t="shared" si="61"/>
        <v>0</v>
      </c>
      <c r="M200" s="224">
        <f t="shared" si="61"/>
        <v>0</v>
      </c>
      <c r="N200" s="224">
        <f t="shared" si="61"/>
        <v>0</v>
      </c>
      <c r="O200" s="224">
        <f t="shared" si="61"/>
        <v>0</v>
      </c>
      <c r="P200" s="224">
        <f t="shared" si="61"/>
        <v>0</v>
      </c>
      <c r="Q200" s="224">
        <f t="shared" si="61"/>
        <v>0</v>
      </c>
      <c r="R200" s="224">
        <f t="shared" si="61"/>
        <v>0</v>
      </c>
      <c r="S200" s="224">
        <f t="shared" si="61"/>
        <v>0</v>
      </c>
      <c r="T200" s="224">
        <f t="shared" si="61"/>
        <v>0</v>
      </c>
      <c r="U200" s="224">
        <f t="shared" si="61"/>
        <v>0</v>
      </c>
      <c r="V200" s="224">
        <f t="shared" si="61"/>
        <v>0</v>
      </c>
      <c r="W200" s="224">
        <f t="shared" si="61"/>
        <v>0</v>
      </c>
      <c r="X200" s="224">
        <f t="shared" si="61"/>
        <v>0</v>
      </c>
      <c r="Y200" s="224">
        <f t="shared" si="61"/>
        <v>0</v>
      </c>
      <c r="Z200" s="224">
        <f t="shared" si="61"/>
        <v>0</v>
      </c>
      <c r="AA200" s="224">
        <f t="shared" si="61"/>
        <v>0</v>
      </c>
      <c r="AB200" s="224">
        <f t="shared" si="61"/>
        <v>0</v>
      </c>
      <c r="AC200" s="224">
        <f t="shared" si="61"/>
        <v>0</v>
      </c>
      <c r="AD200" s="224">
        <f t="shared" si="61"/>
        <v>0</v>
      </c>
      <c r="AE200" s="224">
        <f t="shared" si="61"/>
        <v>0</v>
      </c>
      <c r="AF200" s="224">
        <f t="shared" si="61"/>
        <v>0</v>
      </c>
      <c r="AG200" s="224">
        <f t="shared" si="61"/>
        <v>0</v>
      </c>
      <c r="AH200" s="224">
        <f t="shared" si="61"/>
        <v>0</v>
      </c>
      <c r="AI200" s="224">
        <f t="shared" si="61"/>
        <v>0</v>
      </c>
      <c r="AJ200" s="224">
        <f t="shared" si="61"/>
        <v>0</v>
      </c>
      <c r="AK200" s="224">
        <f t="shared" si="61"/>
        <v>0</v>
      </c>
      <c r="AL200" s="224">
        <f t="shared" si="61"/>
        <v>0</v>
      </c>
      <c r="AM200" s="224">
        <f t="shared" si="61"/>
        <v>0</v>
      </c>
      <c r="AN200" s="224">
        <f t="shared" si="61"/>
        <v>0</v>
      </c>
      <c r="AO200" s="224">
        <f t="shared" si="61"/>
        <v>0</v>
      </c>
      <c r="AP200" s="224">
        <f t="shared" si="61"/>
        <v>0</v>
      </c>
      <c r="AQ200" s="224">
        <f t="shared" si="61"/>
        <v>0</v>
      </c>
      <c r="AR200" s="224">
        <f t="shared" si="61"/>
        <v>0</v>
      </c>
      <c r="AS200" s="224">
        <f t="shared" si="61"/>
        <v>0</v>
      </c>
    </row>
    <row r="201" spans="1:45" hidden="1" outlineLevel="2">
      <c r="B201" s="9" t="str">
        <f>'Input - Option 2 Detailed Input'!C233</f>
        <v>[Additional costs #2]</v>
      </c>
      <c r="C201" s="44">
        <f>'Input - Option 2 Detailed Input'!G233</f>
        <v>0</v>
      </c>
      <c r="H201" s="343">
        <f>SUM(J201:EJ201)</f>
        <v>0</v>
      </c>
      <c r="I201" s="211"/>
      <c r="J201" s="224">
        <f t="shared" ref="J201:Y204" si="62">-IF((J$3=$D$187),($C201)*J$4,)</f>
        <v>0</v>
      </c>
      <c r="K201" s="224">
        <f t="shared" si="62"/>
        <v>0</v>
      </c>
      <c r="L201" s="224">
        <f t="shared" si="62"/>
        <v>0</v>
      </c>
      <c r="M201" s="224">
        <f t="shared" si="62"/>
        <v>0</v>
      </c>
      <c r="N201" s="224">
        <f t="shared" si="62"/>
        <v>0</v>
      </c>
      <c r="O201" s="224">
        <f t="shared" si="62"/>
        <v>0</v>
      </c>
      <c r="P201" s="224">
        <f t="shared" si="62"/>
        <v>0</v>
      </c>
      <c r="Q201" s="224">
        <f t="shared" si="62"/>
        <v>0</v>
      </c>
      <c r="R201" s="224">
        <f t="shared" si="62"/>
        <v>0</v>
      </c>
      <c r="S201" s="224">
        <f t="shared" si="62"/>
        <v>0</v>
      </c>
      <c r="T201" s="224">
        <f t="shared" si="62"/>
        <v>0</v>
      </c>
      <c r="U201" s="224">
        <f t="shared" si="62"/>
        <v>0</v>
      </c>
      <c r="V201" s="224">
        <f t="shared" si="62"/>
        <v>0</v>
      </c>
      <c r="W201" s="224">
        <f t="shared" si="62"/>
        <v>0</v>
      </c>
      <c r="X201" s="224">
        <f t="shared" si="62"/>
        <v>0</v>
      </c>
      <c r="Y201" s="224">
        <f t="shared" si="62"/>
        <v>0</v>
      </c>
      <c r="Z201" s="224">
        <f t="shared" si="61"/>
        <v>0</v>
      </c>
      <c r="AA201" s="224">
        <f t="shared" si="61"/>
        <v>0</v>
      </c>
      <c r="AB201" s="224">
        <f t="shared" si="61"/>
        <v>0</v>
      </c>
      <c r="AC201" s="224">
        <f t="shared" si="61"/>
        <v>0</v>
      </c>
      <c r="AD201" s="224">
        <f t="shared" si="61"/>
        <v>0</v>
      </c>
      <c r="AE201" s="224">
        <f t="shared" si="61"/>
        <v>0</v>
      </c>
      <c r="AF201" s="224">
        <f t="shared" si="61"/>
        <v>0</v>
      </c>
      <c r="AG201" s="224">
        <f t="shared" si="61"/>
        <v>0</v>
      </c>
      <c r="AH201" s="224">
        <f t="shared" si="61"/>
        <v>0</v>
      </c>
      <c r="AI201" s="224">
        <f t="shared" si="61"/>
        <v>0</v>
      </c>
      <c r="AJ201" s="224">
        <f t="shared" si="61"/>
        <v>0</v>
      </c>
      <c r="AK201" s="224">
        <f t="shared" si="61"/>
        <v>0</v>
      </c>
      <c r="AL201" s="224">
        <f t="shared" si="61"/>
        <v>0</v>
      </c>
      <c r="AM201" s="224">
        <f t="shared" si="61"/>
        <v>0</v>
      </c>
      <c r="AN201" s="224">
        <f t="shared" si="61"/>
        <v>0</v>
      </c>
      <c r="AO201" s="224">
        <f t="shared" si="61"/>
        <v>0</v>
      </c>
      <c r="AP201" s="224">
        <f t="shared" si="61"/>
        <v>0</v>
      </c>
      <c r="AQ201" s="224">
        <f t="shared" si="61"/>
        <v>0</v>
      </c>
      <c r="AR201" s="224">
        <f t="shared" si="61"/>
        <v>0</v>
      </c>
      <c r="AS201" s="224">
        <f t="shared" si="61"/>
        <v>0</v>
      </c>
    </row>
    <row r="202" spans="1:45" hidden="1" outlineLevel="2">
      <c r="B202" s="9" t="str">
        <f>'Input - Option 2 Detailed Input'!C234</f>
        <v xml:space="preserve">[Additional costs #3] </v>
      </c>
      <c r="C202" s="44">
        <f>'Input - Option 2 Detailed Input'!G234</f>
        <v>0</v>
      </c>
      <c r="H202" s="343">
        <f>SUM(J202:EJ202)</f>
        <v>0</v>
      </c>
      <c r="I202" s="211"/>
      <c r="J202" s="224">
        <f t="shared" si="62"/>
        <v>0</v>
      </c>
      <c r="K202" s="224">
        <f t="shared" si="61"/>
        <v>0</v>
      </c>
      <c r="L202" s="224">
        <f t="shared" si="61"/>
        <v>0</v>
      </c>
      <c r="M202" s="224">
        <f t="shared" si="61"/>
        <v>0</v>
      </c>
      <c r="N202" s="224">
        <f t="shared" si="61"/>
        <v>0</v>
      </c>
      <c r="O202" s="224">
        <f t="shared" si="61"/>
        <v>0</v>
      </c>
      <c r="P202" s="224">
        <f t="shared" si="61"/>
        <v>0</v>
      </c>
      <c r="Q202" s="224">
        <f t="shared" si="61"/>
        <v>0</v>
      </c>
      <c r="R202" s="224">
        <f t="shared" si="61"/>
        <v>0</v>
      </c>
      <c r="S202" s="224">
        <f t="shared" si="61"/>
        <v>0</v>
      </c>
      <c r="T202" s="224">
        <f t="shared" si="61"/>
        <v>0</v>
      </c>
      <c r="U202" s="224">
        <f t="shared" si="61"/>
        <v>0</v>
      </c>
      <c r="V202" s="224">
        <f t="shared" si="61"/>
        <v>0</v>
      </c>
      <c r="W202" s="224">
        <f t="shared" si="61"/>
        <v>0</v>
      </c>
      <c r="X202" s="224">
        <f t="shared" si="61"/>
        <v>0</v>
      </c>
      <c r="Y202" s="224">
        <f t="shared" si="61"/>
        <v>0</v>
      </c>
      <c r="Z202" s="224">
        <f t="shared" si="61"/>
        <v>0</v>
      </c>
      <c r="AA202" s="224">
        <f t="shared" si="61"/>
        <v>0</v>
      </c>
      <c r="AB202" s="224">
        <f t="shared" si="61"/>
        <v>0</v>
      </c>
      <c r="AC202" s="224">
        <f t="shared" si="61"/>
        <v>0</v>
      </c>
      <c r="AD202" s="224">
        <f t="shared" si="61"/>
        <v>0</v>
      </c>
      <c r="AE202" s="224">
        <f t="shared" si="61"/>
        <v>0</v>
      </c>
      <c r="AF202" s="224">
        <f t="shared" si="61"/>
        <v>0</v>
      </c>
      <c r="AG202" s="224">
        <f t="shared" si="61"/>
        <v>0</v>
      </c>
      <c r="AH202" s="224">
        <f t="shared" si="61"/>
        <v>0</v>
      </c>
      <c r="AI202" s="224">
        <f t="shared" si="61"/>
        <v>0</v>
      </c>
      <c r="AJ202" s="224">
        <f t="shared" si="61"/>
        <v>0</v>
      </c>
      <c r="AK202" s="224">
        <f t="shared" si="61"/>
        <v>0</v>
      </c>
      <c r="AL202" s="224">
        <f t="shared" si="61"/>
        <v>0</v>
      </c>
      <c r="AM202" s="224">
        <f t="shared" si="61"/>
        <v>0</v>
      </c>
      <c r="AN202" s="224">
        <f t="shared" si="61"/>
        <v>0</v>
      </c>
      <c r="AO202" s="224">
        <f t="shared" si="61"/>
        <v>0</v>
      </c>
      <c r="AP202" s="224">
        <f t="shared" si="61"/>
        <v>0</v>
      </c>
      <c r="AQ202" s="224">
        <f t="shared" si="61"/>
        <v>0</v>
      </c>
      <c r="AR202" s="224">
        <f t="shared" si="61"/>
        <v>0</v>
      </c>
      <c r="AS202" s="224">
        <f t="shared" si="61"/>
        <v>0</v>
      </c>
    </row>
    <row r="203" spans="1:45" hidden="1" outlineLevel="2">
      <c r="B203" s="9" t="str">
        <f>'Input - Option 2 Detailed Input'!C235</f>
        <v>[Additional costs #4]</v>
      </c>
      <c r="C203" s="44">
        <f>'Input - Option 2 Detailed Input'!G235</f>
        <v>0</v>
      </c>
      <c r="H203" s="343">
        <f>SUM(J203:EJ203)</f>
        <v>0</v>
      </c>
      <c r="I203" s="211"/>
      <c r="J203" s="224">
        <f t="shared" si="62"/>
        <v>0</v>
      </c>
      <c r="K203" s="224">
        <f t="shared" si="61"/>
        <v>0</v>
      </c>
      <c r="L203" s="224">
        <f t="shared" si="61"/>
        <v>0</v>
      </c>
      <c r="M203" s="224">
        <f t="shared" si="61"/>
        <v>0</v>
      </c>
      <c r="N203" s="224">
        <f t="shared" si="61"/>
        <v>0</v>
      </c>
      <c r="O203" s="224">
        <f t="shared" si="61"/>
        <v>0</v>
      </c>
      <c r="P203" s="224">
        <f t="shared" si="61"/>
        <v>0</v>
      </c>
      <c r="Q203" s="224">
        <f t="shared" si="61"/>
        <v>0</v>
      </c>
      <c r="R203" s="224">
        <f t="shared" si="61"/>
        <v>0</v>
      </c>
      <c r="S203" s="224">
        <f t="shared" si="61"/>
        <v>0</v>
      </c>
      <c r="T203" s="224">
        <f t="shared" si="61"/>
        <v>0</v>
      </c>
      <c r="U203" s="224">
        <f t="shared" si="61"/>
        <v>0</v>
      </c>
      <c r="V203" s="224">
        <f t="shared" si="61"/>
        <v>0</v>
      </c>
      <c r="W203" s="224">
        <f t="shared" si="61"/>
        <v>0</v>
      </c>
      <c r="X203" s="224">
        <f t="shared" si="61"/>
        <v>0</v>
      </c>
      <c r="Y203" s="224">
        <f t="shared" si="61"/>
        <v>0</v>
      </c>
      <c r="Z203" s="224">
        <f t="shared" si="61"/>
        <v>0</v>
      </c>
      <c r="AA203" s="224">
        <f t="shared" si="61"/>
        <v>0</v>
      </c>
      <c r="AB203" s="224">
        <f t="shared" si="61"/>
        <v>0</v>
      </c>
      <c r="AC203" s="224">
        <f t="shared" si="61"/>
        <v>0</v>
      </c>
      <c r="AD203" s="224">
        <f t="shared" si="61"/>
        <v>0</v>
      </c>
      <c r="AE203" s="224">
        <f t="shared" si="61"/>
        <v>0</v>
      </c>
      <c r="AF203" s="224">
        <f t="shared" si="61"/>
        <v>0</v>
      </c>
      <c r="AG203" s="224">
        <f t="shared" si="61"/>
        <v>0</v>
      </c>
      <c r="AH203" s="224">
        <f t="shared" si="61"/>
        <v>0</v>
      </c>
      <c r="AI203" s="224">
        <f t="shared" si="61"/>
        <v>0</v>
      </c>
      <c r="AJ203" s="224">
        <f t="shared" si="61"/>
        <v>0</v>
      </c>
      <c r="AK203" s="224">
        <f t="shared" si="61"/>
        <v>0</v>
      </c>
      <c r="AL203" s="224">
        <f t="shared" si="61"/>
        <v>0</v>
      </c>
      <c r="AM203" s="224">
        <f t="shared" si="61"/>
        <v>0</v>
      </c>
      <c r="AN203" s="224">
        <f t="shared" si="61"/>
        <v>0</v>
      </c>
      <c r="AO203" s="224">
        <f t="shared" si="61"/>
        <v>0</v>
      </c>
      <c r="AP203" s="224">
        <f t="shared" si="61"/>
        <v>0</v>
      </c>
      <c r="AQ203" s="224">
        <f t="shared" si="61"/>
        <v>0</v>
      </c>
      <c r="AR203" s="224">
        <f t="shared" si="61"/>
        <v>0</v>
      </c>
      <c r="AS203" s="224">
        <f t="shared" si="61"/>
        <v>0</v>
      </c>
    </row>
    <row r="204" spans="1:45" hidden="1" outlineLevel="2">
      <c r="B204" s="9" t="str">
        <f>'Input - Option 2 Detailed Input'!C236</f>
        <v xml:space="preserve">[Additional costs #5] </v>
      </c>
      <c r="C204" s="44">
        <f>'Input - Option 2 Detailed Input'!G236</f>
        <v>0</v>
      </c>
      <c r="H204" s="343">
        <f>SUM(J204:EJ204)</f>
        <v>0</v>
      </c>
      <c r="I204" s="211"/>
      <c r="J204" s="224">
        <f t="shared" si="62"/>
        <v>0</v>
      </c>
      <c r="K204" s="224">
        <f t="shared" si="61"/>
        <v>0</v>
      </c>
      <c r="L204" s="224">
        <f t="shared" si="61"/>
        <v>0</v>
      </c>
      <c r="M204" s="224">
        <f t="shared" si="61"/>
        <v>0</v>
      </c>
      <c r="N204" s="224">
        <f t="shared" si="61"/>
        <v>0</v>
      </c>
      <c r="O204" s="224">
        <f t="shared" si="61"/>
        <v>0</v>
      </c>
      <c r="P204" s="224">
        <f t="shared" si="61"/>
        <v>0</v>
      </c>
      <c r="Q204" s="224">
        <f t="shared" si="61"/>
        <v>0</v>
      </c>
      <c r="R204" s="224">
        <f t="shared" si="61"/>
        <v>0</v>
      </c>
      <c r="S204" s="224">
        <f t="shared" si="61"/>
        <v>0</v>
      </c>
      <c r="T204" s="224">
        <f t="shared" si="61"/>
        <v>0</v>
      </c>
      <c r="U204" s="224">
        <f t="shared" si="61"/>
        <v>0</v>
      </c>
      <c r="V204" s="224">
        <f t="shared" si="61"/>
        <v>0</v>
      </c>
      <c r="W204" s="224">
        <f t="shared" si="61"/>
        <v>0</v>
      </c>
      <c r="X204" s="224">
        <f t="shared" si="61"/>
        <v>0</v>
      </c>
      <c r="Y204" s="224">
        <f t="shared" si="61"/>
        <v>0</v>
      </c>
      <c r="Z204" s="224">
        <f t="shared" si="61"/>
        <v>0</v>
      </c>
      <c r="AA204" s="224">
        <f t="shared" si="61"/>
        <v>0</v>
      </c>
      <c r="AB204" s="224">
        <f t="shared" si="61"/>
        <v>0</v>
      </c>
      <c r="AC204" s="224">
        <f t="shared" si="61"/>
        <v>0</v>
      </c>
      <c r="AD204" s="224">
        <f t="shared" si="61"/>
        <v>0</v>
      </c>
      <c r="AE204" s="224">
        <f t="shared" si="61"/>
        <v>0</v>
      </c>
      <c r="AF204" s="224">
        <f t="shared" si="61"/>
        <v>0</v>
      </c>
      <c r="AG204" s="224">
        <f t="shared" si="61"/>
        <v>0</v>
      </c>
      <c r="AH204" s="224">
        <f t="shared" si="61"/>
        <v>0</v>
      </c>
      <c r="AI204" s="224">
        <f t="shared" si="61"/>
        <v>0</v>
      </c>
      <c r="AJ204" s="224">
        <f t="shared" si="61"/>
        <v>0</v>
      </c>
      <c r="AK204" s="224">
        <f t="shared" si="61"/>
        <v>0</v>
      </c>
      <c r="AL204" s="224">
        <f t="shared" si="61"/>
        <v>0</v>
      </c>
      <c r="AM204" s="224">
        <f t="shared" si="61"/>
        <v>0</v>
      </c>
      <c r="AN204" s="224">
        <f t="shared" si="61"/>
        <v>0</v>
      </c>
      <c r="AO204" s="224">
        <f t="shared" si="61"/>
        <v>0</v>
      </c>
      <c r="AP204" s="224">
        <f t="shared" si="61"/>
        <v>0</v>
      </c>
      <c r="AQ204" s="224">
        <f t="shared" si="61"/>
        <v>0</v>
      </c>
      <c r="AR204" s="224">
        <f t="shared" si="61"/>
        <v>0</v>
      </c>
      <c r="AS204" s="224">
        <f t="shared" si="61"/>
        <v>0</v>
      </c>
    </row>
    <row r="205" spans="1:45" hidden="1" outlineLevel="2">
      <c r="H205" s="35"/>
      <c r="I205" s="213"/>
      <c r="J205" s="224"/>
    </row>
    <row r="206" spans="1:45" hidden="1" outlineLevel="2">
      <c r="A206" s="15"/>
      <c r="B206" s="16" t="s">
        <v>313</v>
      </c>
      <c r="C206" s="12"/>
      <c r="D206" s="12"/>
      <c r="E206" s="12"/>
      <c r="F206" s="12"/>
      <c r="G206" s="12"/>
      <c r="H206" s="259">
        <f>SUM(H200:H204,H188:H197)</f>
        <v>0</v>
      </c>
      <c r="I206" s="215"/>
      <c r="J206" s="225">
        <f>SUM(J188:J197,J200:J204)</f>
        <v>0</v>
      </c>
      <c r="K206" s="225">
        <f t="shared" ref="K206:AS206" si="63">SUM(K188:K197,K200:K204)</f>
        <v>0</v>
      </c>
      <c r="L206" s="225">
        <f t="shared" si="63"/>
        <v>0</v>
      </c>
      <c r="M206" s="225">
        <f>SUM(M188:M197,M200:M204)</f>
        <v>0</v>
      </c>
      <c r="N206" s="225">
        <f t="shared" si="63"/>
        <v>0</v>
      </c>
      <c r="O206" s="225">
        <f t="shared" si="63"/>
        <v>0</v>
      </c>
      <c r="P206" s="225">
        <f t="shared" si="63"/>
        <v>0</v>
      </c>
      <c r="Q206" s="225">
        <f t="shared" si="63"/>
        <v>0</v>
      </c>
      <c r="R206" s="225">
        <f t="shared" si="63"/>
        <v>0</v>
      </c>
      <c r="S206" s="225">
        <f t="shared" si="63"/>
        <v>0</v>
      </c>
      <c r="T206" s="225">
        <f t="shared" si="63"/>
        <v>0</v>
      </c>
      <c r="U206" s="225">
        <f t="shared" si="63"/>
        <v>0</v>
      </c>
      <c r="V206" s="225">
        <f t="shared" si="63"/>
        <v>0</v>
      </c>
      <c r="W206" s="225">
        <f t="shared" si="63"/>
        <v>0</v>
      </c>
      <c r="X206" s="225">
        <f t="shared" si="63"/>
        <v>0</v>
      </c>
      <c r="Y206" s="225">
        <f t="shared" si="63"/>
        <v>0</v>
      </c>
      <c r="Z206" s="225">
        <f t="shared" si="63"/>
        <v>0</v>
      </c>
      <c r="AA206" s="225">
        <f t="shared" si="63"/>
        <v>0</v>
      </c>
      <c r="AB206" s="225">
        <f t="shared" si="63"/>
        <v>0</v>
      </c>
      <c r="AC206" s="225">
        <f t="shared" si="63"/>
        <v>0</v>
      </c>
      <c r="AD206" s="225">
        <f t="shared" si="63"/>
        <v>0</v>
      </c>
      <c r="AE206" s="225">
        <f t="shared" si="63"/>
        <v>0</v>
      </c>
      <c r="AF206" s="225">
        <f t="shared" si="63"/>
        <v>0</v>
      </c>
      <c r="AG206" s="225">
        <f t="shared" si="63"/>
        <v>0</v>
      </c>
      <c r="AH206" s="225">
        <f t="shared" si="63"/>
        <v>0</v>
      </c>
      <c r="AI206" s="225">
        <f t="shared" si="63"/>
        <v>0</v>
      </c>
      <c r="AJ206" s="225">
        <f t="shared" si="63"/>
        <v>0</v>
      </c>
      <c r="AK206" s="225">
        <f t="shared" si="63"/>
        <v>0</v>
      </c>
      <c r="AL206" s="225">
        <f t="shared" si="63"/>
        <v>0</v>
      </c>
      <c r="AM206" s="225">
        <f t="shared" si="63"/>
        <v>0</v>
      </c>
      <c r="AN206" s="225">
        <f t="shared" si="63"/>
        <v>0</v>
      </c>
      <c r="AO206" s="225">
        <f t="shared" si="63"/>
        <v>0</v>
      </c>
      <c r="AP206" s="225">
        <f t="shared" si="63"/>
        <v>0</v>
      </c>
      <c r="AQ206" s="225">
        <f t="shared" si="63"/>
        <v>0</v>
      </c>
      <c r="AR206" s="225">
        <f t="shared" si="63"/>
        <v>0</v>
      </c>
      <c r="AS206" s="225">
        <f t="shared" si="63"/>
        <v>0</v>
      </c>
    </row>
    <row r="207" spans="1:45" hidden="1" outlineLevel="2">
      <c r="H207" s="35"/>
      <c r="I207" s="213"/>
    </row>
    <row r="208" spans="1:45" hidden="1" outlineLevel="2">
      <c r="B208" s="103" t="str">
        <f>'Input - Option 2 Detailed Input'!C238</f>
        <v>Year 5 of establishment and maintenance</v>
      </c>
      <c r="C208" s="25" t="str">
        <f>'Input - Option 2 Detailed Input'!H239</f>
        <v>Total Costs (per visit)</v>
      </c>
      <c r="D208" s="39">
        <f>IF($C$3=$C$4,'Input - Option 2 Detailed Input'!D238,)</f>
        <v>0</v>
      </c>
      <c r="H208" s="35"/>
      <c r="I208" s="213"/>
    </row>
    <row r="209" spans="2:45" hidden="1" outlineLevel="2">
      <c r="B209" s="9" t="str">
        <f>'Input - Option 2 Detailed Input'!$C$156</f>
        <v>Recuring unitary maintenance visits (e.g. watering, mulching, etc.)</v>
      </c>
      <c r="C209" s="44">
        <f>'Input - Option 2 Detailed Input'!H240</f>
        <v>0</v>
      </c>
      <c r="H209" s="343">
        <f t="shared" ref="H209:H218" si="64">SUM(J209:EJ209)</f>
        <v>0</v>
      </c>
      <c r="I209" s="211"/>
      <c r="J209" s="224">
        <f>-IF((J$3=$D$208),($C209)*J$4,)</f>
        <v>0</v>
      </c>
      <c r="K209" s="224">
        <f t="shared" ref="K209:AS216" si="65">-IF((K$3=$D$208),($C209)*K$4,)</f>
        <v>0</v>
      </c>
      <c r="L209" s="224">
        <f t="shared" si="65"/>
        <v>0</v>
      </c>
      <c r="M209" s="224">
        <f t="shared" si="65"/>
        <v>0</v>
      </c>
      <c r="N209" s="224">
        <f t="shared" si="65"/>
        <v>0</v>
      </c>
      <c r="O209" s="224">
        <f t="shared" si="65"/>
        <v>0</v>
      </c>
      <c r="P209" s="224">
        <f t="shared" si="65"/>
        <v>0</v>
      </c>
      <c r="Q209" s="224">
        <f t="shared" si="65"/>
        <v>0</v>
      </c>
      <c r="R209" s="224">
        <f t="shared" si="65"/>
        <v>0</v>
      </c>
      <c r="S209" s="224">
        <f t="shared" si="65"/>
        <v>0</v>
      </c>
      <c r="T209" s="224">
        <f t="shared" si="65"/>
        <v>0</v>
      </c>
      <c r="U209" s="224">
        <f t="shared" si="65"/>
        <v>0</v>
      </c>
      <c r="V209" s="224">
        <f t="shared" si="65"/>
        <v>0</v>
      </c>
      <c r="W209" s="224">
        <f t="shared" si="65"/>
        <v>0</v>
      </c>
      <c r="X209" s="224">
        <f t="shared" si="65"/>
        <v>0</v>
      </c>
      <c r="Y209" s="224">
        <f t="shared" si="65"/>
        <v>0</v>
      </c>
      <c r="Z209" s="224">
        <f t="shared" si="65"/>
        <v>0</v>
      </c>
      <c r="AA209" s="224">
        <f t="shared" si="65"/>
        <v>0</v>
      </c>
      <c r="AB209" s="224">
        <f t="shared" si="65"/>
        <v>0</v>
      </c>
      <c r="AC209" s="224">
        <f t="shared" si="65"/>
        <v>0</v>
      </c>
      <c r="AD209" s="224">
        <f t="shared" si="65"/>
        <v>0</v>
      </c>
      <c r="AE209" s="224">
        <f t="shared" si="65"/>
        <v>0</v>
      </c>
      <c r="AF209" s="224">
        <f t="shared" si="65"/>
        <v>0</v>
      </c>
      <c r="AG209" s="224">
        <f t="shared" si="65"/>
        <v>0</v>
      </c>
      <c r="AH209" s="224">
        <f t="shared" si="65"/>
        <v>0</v>
      </c>
      <c r="AI209" s="224">
        <f t="shared" si="65"/>
        <v>0</v>
      </c>
      <c r="AJ209" s="224">
        <f t="shared" si="65"/>
        <v>0</v>
      </c>
      <c r="AK209" s="224">
        <f t="shared" si="65"/>
        <v>0</v>
      </c>
      <c r="AL209" s="224">
        <f t="shared" si="65"/>
        <v>0</v>
      </c>
      <c r="AM209" s="224">
        <f t="shared" si="65"/>
        <v>0</v>
      </c>
      <c r="AN209" s="224">
        <f t="shared" si="65"/>
        <v>0</v>
      </c>
      <c r="AO209" s="224">
        <f t="shared" si="65"/>
        <v>0</v>
      </c>
      <c r="AP209" s="224">
        <f t="shared" si="65"/>
        <v>0</v>
      </c>
      <c r="AQ209" s="224">
        <f t="shared" si="65"/>
        <v>0</v>
      </c>
      <c r="AR209" s="224">
        <f t="shared" si="65"/>
        <v>0</v>
      </c>
      <c r="AS209" s="224">
        <f t="shared" si="65"/>
        <v>0</v>
      </c>
    </row>
    <row r="210" spans="2:45" hidden="1" outlineLevel="2">
      <c r="B210" s="9" t="str">
        <f>'Input - Option 2 Detailed Input'!$C$158</f>
        <v>Establishment checks (including collection, collation, interpretation and sharing of consistent tree establishment data )</v>
      </c>
      <c r="C210" s="44">
        <f>'Input - Option 2 Detailed Input'!H242</f>
        <v>0</v>
      </c>
      <c r="H210" s="343">
        <f t="shared" si="64"/>
        <v>0</v>
      </c>
      <c r="I210" s="211"/>
      <c r="J210" s="224">
        <f t="shared" ref="J210:Y218" si="66">-IF((J$3=$D$208),($C210)*J$4,)</f>
        <v>0</v>
      </c>
      <c r="K210" s="224">
        <f t="shared" si="66"/>
        <v>0</v>
      </c>
      <c r="L210" s="224">
        <f t="shared" si="66"/>
        <v>0</v>
      </c>
      <c r="M210" s="224">
        <f t="shared" si="66"/>
        <v>0</v>
      </c>
      <c r="N210" s="224">
        <f t="shared" si="66"/>
        <v>0</v>
      </c>
      <c r="O210" s="224">
        <f t="shared" si="66"/>
        <v>0</v>
      </c>
      <c r="P210" s="224">
        <f t="shared" si="66"/>
        <v>0</v>
      </c>
      <c r="Q210" s="224">
        <f t="shared" si="66"/>
        <v>0</v>
      </c>
      <c r="R210" s="224">
        <f t="shared" si="66"/>
        <v>0</v>
      </c>
      <c r="S210" s="224">
        <f t="shared" si="66"/>
        <v>0</v>
      </c>
      <c r="T210" s="224">
        <f t="shared" si="66"/>
        <v>0</v>
      </c>
      <c r="U210" s="224">
        <f t="shared" si="66"/>
        <v>0</v>
      </c>
      <c r="V210" s="224">
        <f t="shared" si="66"/>
        <v>0</v>
      </c>
      <c r="W210" s="224">
        <f t="shared" si="66"/>
        <v>0</v>
      </c>
      <c r="X210" s="224">
        <f t="shared" si="66"/>
        <v>0</v>
      </c>
      <c r="Y210" s="224">
        <f t="shared" si="66"/>
        <v>0</v>
      </c>
      <c r="Z210" s="224">
        <f t="shared" si="65"/>
        <v>0</v>
      </c>
      <c r="AA210" s="224">
        <f t="shared" si="65"/>
        <v>0</v>
      </c>
      <c r="AB210" s="224">
        <f t="shared" si="65"/>
        <v>0</v>
      </c>
      <c r="AC210" s="224">
        <f t="shared" si="65"/>
        <v>0</v>
      </c>
      <c r="AD210" s="224">
        <f t="shared" si="65"/>
        <v>0</v>
      </c>
      <c r="AE210" s="224">
        <f t="shared" si="65"/>
        <v>0</v>
      </c>
      <c r="AF210" s="224">
        <f t="shared" si="65"/>
        <v>0</v>
      </c>
      <c r="AG210" s="224">
        <f t="shared" si="65"/>
        <v>0</v>
      </c>
      <c r="AH210" s="224">
        <f t="shared" si="65"/>
        <v>0</v>
      </c>
      <c r="AI210" s="224">
        <f t="shared" si="65"/>
        <v>0</v>
      </c>
      <c r="AJ210" s="224">
        <f t="shared" si="65"/>
        <v>0</v>
      </c>
      <c r="AK210" s="224">
        <f t="shared" si="65"/>
        <v>0</v>
      </c>
      <c r="AL210" s="224">
        <f t="shared" si="65"/>
        <v>0</v>
      </c>
      <c r="AM210" s="224">
        <f t="shared" si="65"/>
        <v>0</v>
      </c>
      <c r="AN210" s="224">
        <f t="shared" si="65"/>
        <v>0</v>
      </c>
      <c r="AO210" s="224">
        <f t="shared" si="65"/>
        <v>0</v>
      </c>
      <c r="AP210" s="224">
        <f t="shared" si="65"/>
        <v>0</v>
      </c>
      <c r="AQ210" s="224">
        <f t="shared" si="65"/>
        <v>0</v>
      </c>
      <c r="AR210" s="224">
        <f t="shared" si="65"/>
        <v>0</v>
      </c>
      <c r="AS210" s="224">
        <f t="shared" si="65"/>
        <v>0</v>
      </c>
    </row>
    <row r="211" spans="2:45" hidden="1" outlineLevel="2">
      <c r="B211" s="9" t="str">
        <f>'Input - Option 2 Detailed Input'!$C$159</f>
        <v>Maintenance, removal and/or disposal of (where relevant) stakes, ties, and guard, grills, concrete rings, base surrounds, tree protection, etc.</v>
      </c>
      <c r="C211" s="44">
        <f>'Input - Option 2 Detailed Input'!H243</f>
        <v>0</v>
      </c>
      <c r="H211" s="343">
        <f t="shared" si="64"/>
        <v>0</v>
      </c>
      <c r="I211" s="211"/>
      <c r="J211" s="224">
        <f t="shared" si="66"/>
        <v>0</v>
      </c>
      <c r="K211" s="224">
        <f t="shared" si="65"/>
        <v>0</v>
      </c>
      <c r="L211" s="224">
        <f t="shared" si="65"/>
        <v>0</v>
      </c>
      <c r="M211" s="224">
        <f t="shared" si="65"/>
        <v>0</v>
      </c>
      <c r="N211" s="224">
        <f t="shared" si="65"/>
        <v>0</v>
      </c>
      <c r="O211" s="224">
        <f t="shared" si="65"/>
        <v>0</v>
      </c>
      <c r="P211" s="224">
        <f t="shared" si="65"/>
        <v>0</v>
      </c>
      <c r="Q211" s="224">
        <f t="shared" si="65"/>
        <v>0</v>
      </c>
      <c r="R211" s="224">
        <f t="shared" si="65"/>
        <v>0</v>
      </c>
      <c r="S211" s="224">
        <f t="shared" si="65"/>
        <v>0</v>
      </c>
      <c r="T211" s="224">
        <f t="shared" si="65"/>
        <v>0</v>
      </c>
      <c r="U211" s="224">
        <f t="shared" si="65"/>
        <v>0</v>
      </c>
      <c r="V211" s="224">
        <f t="shared" si="65"/>
        <v>0</v>
      </c>
      <c r="W211" s="224">
        <f t="shared" si="65"/>
        <v>0</v>
      </c>
      <c r="X211" s="224">
        <f t="shared" si="65"/>
        <v>0</v>
      </c>
      <c r="Y211" s="224">
        <f t="shared" si="65"/>
        <v>0</v>
      </c>
      <c r="Z211" s="224">
        <f t="shared" si="65"/>
        <v>0</v>
      </c>
      <c r="AA211" s="224">
        <f t="shared" si="65"/>
        <v>0</v>
      </c>
      <c r="AB211" s="224">
        <f t="shared" si="65"/>
        <v>0</v>
      </c>
      <c r="AC211" s="224">
        <f t="shared" si="65"/>
        <v>0</v>
      </c>
      <c r="AD211" s="224">
        <f t="shared" si="65"/>
        <v>0</v>
      </c>
      <c r="AE211" s="224">
        <f t="shared" si="65"/>
        <v>0</v>
      </c>
      <c r="AF211" s="224">
        <f t="shared" si="65"/>
        <v>0</v>
      </c>
      <c r="AG211" s="224">
        <f t="shared" si="65"/>
        <v>0</v>
      </c>
      <c r="AH211" s="224">
        <f t="shared" si="65"/>
        <v>0</v>
      </c>
      <c r="AI211" s="224">
        <f t="shared" si="65"/>
        <v>0</v>
      </c>
      <c r="AJ211" s="224">
        <f t="shared" si="65"/>
        <v>0</v>
      </c>
      <c r="AK211" s="224">
        <f t="shared" si="65"/>
        <v>0</v>
      </c>
      <c r="AL211" s="224">
        <f t="shared" si="65"/>
        <v>0</v>
      </c>
      <c r="AM211" s="224">
        <f t="shared" si="65"/>
        <v>0</v>
      </c>
      <c r="AN211" s="224">
        <f t="shared" si="65"/>
        <v>0</v>
      </c>
      <c r="AO211" s="224">
        <f t="shared" si="65"/>
        <v>0</v>
      </c>
      <c r="AP211" s="224">
        <f t="shared" si="65"/>
        <v>0</v>
      </c>
      <c r="AQ211" s="224">
        <f t="shared" si="65"/>
        <v>0</v>
      </c>
      <c r="AR211" s="224">
        <f t="shared" si="65"/>
        <v>0</v>
      </c>
      <c r="AS211" s="224">
        <f t="shared" si="65"/>
        <v>0</v>
      </c>
    </row>
    <row r="212" spans="2:45" hidden="1" outlineLevel="2">
      <c r="B212" s="9" t="str">
        <f>'Input - Option 2 Detailed Input'!$C$160</f>
        <v xml:space="preserve">Safety inspection cost </v>
      </c>
      <c r="C212" s="44">
        <f>'Input - Option 2 Detailed Input'!H244</f>
        <v>0</v>
      </c>
      <c r="H212" s="343">
        <f t="shared" si="64"/>
        <v>0</v>
      </c>
      <c r="I212" s="211"/>
      <c r="J212" s="224">
        <f t="shared" si="66"/>
        <v>0</v>
      </c>
      <c r="K212" s="224">
        <f t="shared" si="65"/>
        <v>0</v>
      </c>
      <c r="L212" s="224">
        <f t="shared" si="65"/>
        <v>0</v>
      </c>
      <c r="M212" s="224">
        <f t="shared" si="65"/>
        <v>0</v>
      </c>
      <c r="N212" s="224">
        <f t="shared" si="65"/>
        <v>0</v>
      </c>
      <c r="O212" s="224">
        <f t="shared" si="65"/>
        <v>0</v>
      </c>
      <c r="P212" s="224">
        <f t="shared" si="65"/>
        <v>0</v>
      </c>
      <c r="Q212" s="224">
        <f t="shared" si="65"/>
        <v>0</v>
      </c>
      <c r="R212" s="224">
        <f t="shared" si="65"/>
        <v>0</v>
      </c>
      <c r="S212" s="224">
        <f t="shared" si="65"/>
        <v>0</v>
      </c>
      <c r="T212" s="224">
        <f t="shared" si="65"/>
        <v>0</v>
      </c>
      <c r="U212" s="224">
        <f t="shared" si="65"/>
        <v>0</v>
      </c>
      <c r="V212" s="224">
        <f t="shared" si="65"/>
        <v>0</v>
      </c>
      <c r="W212" s="224">
        <f t="shared" si="65"/>
        <v>0</v>
      </c>
      <c r="X212" s="224">
        <f t="shared" si="65"/>
        <v>0</v>
      </c>
      <c r="Y212" s="224">
        <f t="shared" si="65"/>
        <v>0</v>
      </c>
      <c r="Z212" s="224">
        <f t="shared" si="65"/>
        <v>0</v>
      </c>
      <c r="AA212" s="224">
        <f t="shared" si="65"/>
        <v>0</v>
      </c>
      <c r="AB212" s="224">
        <f t="shared" si="65"/>
        <v>0</v>
      </c>
      <c r="AC212" s="224">
        <f t="shared" si="65"/>
        <v>0</v>
      </c>
      <c r="AD212" s="224">
        <f t="shared" si="65"/>
        <v>0</v>
      </c>
      <c r="AE212" s="224">
        <f t="shared" si="65"/>
        <v>0</v>
      </c>
      <c r="AF212" s="224">
        <f t="shared" si="65"/>
        <v>0</v>
      </c>
      <c r="AG212" s="224">
        <f t="shared" si="65"/>
        <v>0</v>
      </c>
      <c r="AH212" s="224">
        <f t="shared" si="65"/>
        <v>0</v>
      </c>
      <c r="AI212" s="224">
        <f t="shared" si="65"/>
        <v>0</v>
      </c>
      <c r="AJ212" s="224">
        <f t="shared" si="65"/>
        <v>0</v>
      </c>
      <c r="AK212" s="224">
        <f t="shared" si="65"/>
        <v>0</v>
      </c>
      <c r="AL212" s="224">
        <f t="shared" si="65"/>
        <v>0</v>
      </c>
      <c r="AM212" s="224">
        <f t="shared" si="65"/>
        <v>0</v>
      </c>
      <c r="AN212" s="224">
        <f t="shared" si="65"/>
        <v>0</v>
      </c>
      <c r="AO212" s="224">
        <f t="shared" si="65"/>
        <v>0</v>
      </c>
      <c r="AP212" s="224">
        <f t="shared" si="65"/>
        <v>0</v>
      </c>
      <c r="AQ212" s="224">
        <f t="shared" si="65"/>
        <v>0</v>
      </c>
      <c r="AR212" s="224">
        <f t="shared" si="65"/>
        <v>0</v>
      </c>
      <c r="AS212" s="224">
        <f t="shared" si="65"/>
        <v>0</v>
      </c>
    </row>
    <row r="213" spans="2:45" hidden="1" outlineLevel="2">
      <c r="B213" s="9" t="str">
        <f>'Input - Option 2 Detailed Input'!$C$161</f>
        <v xml:space="preserve">Crown lifting </v>
      </c>
      <c r="C213" s="44">
        <f>'Input - Option 2 Detailed Input'!H245</f>
        <v>0</v>
      </c>
      <c r="H213" s="343">
        <f t="shared" si="64"/>
        <v>0</v>
      </c>
      <c r="I213" s="211"/>
      <c r="J213" s="224">
        <f t="shared" si="66"/>
        <v>0</v>
      </c>
      <c r="K213" s="224">
        <f t="shared" si="65"/>
        <v>0</v>
      </c>
      <c r="L213" s="224">
        <f t="shared" si="65"/>
        <v>0</v>
      </c>
      <c r="M213" s="224">
        <f t="shared" si="65"/>
        <v>0</v>
      </c>
      <c r="N213" s="224">
        <f t="shared" si="65"/>
        <v>0</v>
      </c>
      <c r="O213" s="224">
        <f t="shared" si="65"/>
        <v>0</v>
      </c>
      <c r="P213" s="224">
        <f t="shared" si="65"/>
        <v>0</v>
      </c>
      <c r="Q213" s="224">
        <f t="shared" si="65"/>
        <v>0</v>
      </c>
      <c r="R213" s="224">
        <f t="shared" si="65"/>
        <v>0</v>
      </c>
      <c r="S213" s="224">
        <f t="shared" si="65"/>
        <v>0</v>
      </c>
      <c r="T213" s="224">
        <f t="shared" si="65"/>
        <v>0</v>
      </c>
      <c r="U213" s="224">
        <f t="shared" si="65"/>
        <v>0</v>
      </c>
      <c r="V213" s="224">
        <f t="shared" si="65"/>
        <v>0</v>
      </c>
      <c r="W213" s="224">
        <f t="shared" si="65"/>
        <v>0</v>
      </c>
      <c r="X213" s="224">
        <f t="shared" si="65"/>
        <v>0</v>
      </c>
      <c r="Y213" s="224">
        <f t="shared" si="65"/>
        <v>0</v>
      </c>
      <c r="Z213" s="224">
        <f t="shared" si="65"/>
        <v>0</v>
      </c>
      <c r="AA213" s="224">
        <f t="shared" si="65"/>
        <v>0</v>
      </c>
      <c r="AB213" s="224">
        <f t="shared" si="65"/>
        <v>0</v>
      </c>
      <c r="AC213" s="224">
        <f t="shared" si="65"/>
        <v>0</v>
      </c>
      <c r="AD213" s="224">
        <f t="shared" si="65"/>
        <v>0</v>
      </c>
      <c r="AE213" s="224">
        <f t="shared" si="65"/>
        <v>0</v>
      </c>
      <c r="AF213" s="224">
        <f t="shared" si="65"/>
        <v>0</v>
      </c>
      <c r="AG213" s="224">
        <f t="shared" si="65"/>
        <v>0</v>
      </c>
      <c r="AH213" s="224">
        <f t="shared" si="65"/>
        <v>0</v>
      </c>
      <c r="AI213" s="224">
        <f t="shared" si="65"/>
        <v>0</v>
      </c>
      <c r="AJ213" s="224">
        <f t="shared" si="65"/>
        <v>0</v>
      </c>
      <c r="AK213" s="224">
        <f t="shared" si="65"/>
        <v>0</v>
      </c>
      <c r="AL213" s="224">
        <f t="shared" si="65"/>
        <v>0</v>
      </c>
      <c r="AM213" s="224">
        <f t="shared" si="65"/>
        <v>0</v>
      </c>
      <c r="AN213" s="224">
        <f t="shared" si="65"/>
        <v>0</v>
      </c>
      <c r="AO213" s="224">
        <f t="shared" si="65"/>
        <v>0</v>
      </c>
      <c r="AP213" s="224">
        <f t="shared" si="65"/>
        <v>0</v>
      </c>
      <c r="AQ213" s="224">
        <f t="shared" si="65"/>
        <v>0</v>
      </c>
      <c r="AR213" s="224">
        <f t="shared" si="65"/>
        <v>0</v>
      </c>
      <c r="AS213" s="224">
        <f t="shared" si="65"/>
        <v>0</v>
      </c>
    </row>
    <row r="214" spans="2:45" hidden="1" outlineLevel="2">
      <c r="B214" s="9" t="str">
        <f>'Input - Option 2 Detailed Input'!$C$162</f>
        <v>Deadwood cleanout</v>
      </c>
      <c r="C214" s="44">
        <f>'Input - Option 2 Detailed Input'!H246</f>
        <v>0</v>
      </c>
      <c r="H214" s="343">
        <f t="shared" si="64"/>
        <v>0</v>
      </c>
      <c r="I214" s="211"/>
      <c r="J214" s="224">
        <f t="shared" si="66"/>
        <v>0</v>
      </c>
      <c r="K214" s="224">
        <f t="shared" si="65"/>
        <v>0</v>
      </c>
      <c r="L214" s="224">
        <f t="shared" si="65"/>
        <v>0</v>
      </c>
      <c r="M214" s="224">
        <f t="shared" si="65"/>
        <v>0</v>
      </c>
      <c r="N214" s="224">
        <f t="shared" si="65"/>
        <v>0</v>
      </c>
      <c r="O214" s="224">
        <f t="shared" si="65"/>
        <v>0</v>
      </c>
      <c r="P214" s="224">
        <f t="shared" si="65"/>
        <v>0</v>
      </c>
      <c r="Q214" s="224">
        <f t="shared" si="65"/>
        <v>0</v>
      </c>
      <c r="R214" s="224">
        <f t="shared" si="65"/>
        <v>0</v>
      </c>
      <c r="S214" s="224">
        <f t="shared" si="65"/>
        <v>0</v>
      </c>
      <c r="T214" s="224">
        <f t="shared" si="65"/>
        <v>0</v>
      </c>
      <c r="U214" s="224">
        <f t="shared" si="65"/>
        <v>0</v>
      </c>
      <c r="V214" s="224">
        <f t="shared" si="65"/>
        <v>0</v>
      </c>
      <c r="W214" s="224">
        <f t="shared" si="65"/>
        <v>0</v>
      </c>
      <c r="X214" s="224">
        <f t="shared" si="65"/>
        <v>0</v>
      </c>
      <c r="Y214" s="224">
        <f t="shared" si="65"/>
        <v>0</v>
      </c>
      <c r="Z214" s="224">
        <f t="shared" si="65"/>
        <v>0</v>
      </c>
      <c r="AA214" s="224">
        <f t="shared" si="65"/>
        <v>0</v>
      </c>
      <c r="AB214" s="224">
        <f t="shared" si="65"/>
        <v>0</v>
      </c>
      <c r="AC214" s="224">
        <f t="shared" si="65"/>
        <v>0</v>
      </c>
      <c r="AD214" s="224">
        <f t="shared" si="65"/>
        <v>0</v>
      </c>
      <c r="AE214" s="224">
        <f t="shared" si="65"/>
        <v>0</v>
      </c>
      <c r="AF214" s="224">
        <f t="shared" si="65"/>
        <v>0</v>
      </c>
      <c r="AG214" s="224">
        <f t="shared" si="65"/>
        <v>0</v>
      </c>
      <c r="AH214" s="224">
        <f t="shared" si="65"/>
        <v>0</v>
      </c>
      <c r="AI214" s="224">
        <f t="shared" si="65"/>
        <v>0</v>
      </c>
      <c r="AJ214" s="224">
        <f t="shared" si="65"/>
        <v>0</v>
      </c>
      <c r="AK214" s="224">
        <f t="shared" si="65"/>
        <v>0</v>
      </c>
      <c r="AL214" s="224">
        <f t="shared" si="65"/>
        <v>0</v>
      </c>
      <c r="AM214" s="224">
        <f t="shared" si="65"/>
        <v>0</v>
      </c>
      <c r="AN214" s="224">
        <f t="shared" si="65"/>
        <v>0</v>
      </c>
      <c r="AO214" s="224">
        <f t="shared" si="65"/>
        <v>0</v>
      </c>
      <c r="AP214" s="224">
        <f t="shared" si="65"/>
        <v>0</v>
      </c>
      <c r="AQ214" s="224">
        <f t="shared" si="65"/>
        <v>0</v>
      </c>
      <c r="AR214" s="224">
        <f t="shared" si="65"/>
        <v>0</v>
      </c>
      <c r="AS214" s="224">
        <f t="shared" si="65"/>
        <v>0</v>
      </c>
    </row>
    <row r="215" spans="2:45" hidden="1" outlineLevel="2">
      <c r="B215" s="9" t="str">
        <f>'Input - Option 2 Detailed Input'!$C$163</f>
        <v>Additional costs related for specialist pruning regimes</v>
      </c>
      <c r="C215" s="44">
        <f>'Input - Option 2 Detailed Input'!H247</f>
        <v>0</v>
      </c>
      <c r="H215" s="343">
        <f t="shared" si="64"/>
        <v>0</v>
      </c>
      <c r="I215" s="211"/>
      <c r="J215" s="224">
        <f t="shared" si="66"/>
        <v>0</v>
      </c>
      <c r="K215" s="224">
        <f t="shared" si="65"/>
        <v>0</v>
      </c>
      <c r="L215" s="224">
        <f t="shared" si="65"/>
        <v>0</v>
      </c>
      <c r="M215" s="224">
        <f t="shared" si="65"/>
        <v>0</v>
      </c>
      <c r="N215" s="224">
        <f t="shared" si="65"/>
        <v>0</v>
      </c>
      <c r="O215" s="224">
        <f t="shared" si="65"/>
        <v>0</v>
      </c>
      <c r="P215" s="224">
        <f t="shared" si="65"/>
        <v>0</v>
      </c>
      <c r="Q215" s="224">
        <f t="shared" si="65"/>
        <v>0</v>
      </c>
      <c r="R215" s="224">
        <f t="shared" si="65"/>
        <v>0</v>
      </c>
      <c r="S215" s="224">
        <f t="shared" si="65"/>
        <v>0</v>
      </c>
      <c r="T215" s="224">
        <f t="shared" si="65"/>
        <v>0</v>
      </c>
      <c r="U215" s="224">
        <f t="shared" si="65"/>
        <v>0</v>
      </c>
      <c r="V215" s="224">
        <f t="shared" si="65"/>
        <v>0</v>
      </c>
      <c r="W215" s="224">
        <f t="shared" si="65"/>
        <v>0</v>
      </c>
      <c r="X215" s="224">
        <f t="shared" si="65"/>
        <v>0</v>
      </c>
      <c r="Y215" s="224">
        <f t="shared" si="65"/>
        <v>0</v>
      </c>
      <c r="Z215" s="224">
        <f t="shared" si="65"/>
        <v>0</v>
      </c>
      <c r="AA215" s="224">
        <f t="shared" si="65"/>
        <v>0</v>
      </c>
      <c r="AB215" s="224">
        <f t="shared" si="65"/>
        <v>0</v>
      </c>
      <c r="AC215" s="224">
        <f t="shared" si="65"/>
        <v>0</v>
      </c>
      <c r="AD215" s="224">
        <f t="shared" si="65"/>
        <v>0</v>
      </c>
      <c r="AE215" s="224">
        <f t="shared" si="65"/>
        <v>0</v>
      </c>
      <c r="AF215" s="224">
        <f t="shared" si="65"/>
        <v>0</v>
      </c>
      <c r="AG215" s="224">
        <f t="shared" si="65"/>
        <v>0</v>
      </c>
      <c r="AH215" s="224">
        <f t="shared" si="65"/>
        <v>0</v>
      </c>
      <c r="AI215" s="224">
        <f t="shared" si="65"/>
        <v>0</v>
      </c>
      <c r="AJ215" s="224">
        <f t="shared" si="65"/>
        <v>0</v>
      </c>
      <c r="AK215" s="224">
        <f t="shared" si="65"/>
        <v>0</v>
      </c>
      <c r="AL215" s="224">
        <f t="shared" si="65"/>
        <v>0</v>
      </c>
      <c r="AM215" s="224">
        <f t="shared" si="65"/>
        <v>0</v>
      </c>
      <c r="AN215" s="224">
        <f t="shared" si="65"/>
        <v>0</v>
      </c>
      <c r="AO215" s="224">
        <f t="shared" si="65"/>
        <v>0</v>
      </c>
      <c r="AP215" s="224">
        <f t="shared" si="65"/>
        <v>0</v>
      </c>
      <c r="AQ215" s="224">
        <f t="shared" si="65"/>
        <v>0</v>
      </c>
      <c r="AR215" s="224">
        <f t="shared" si="65"/>
        <v>0</v>
      </c>
      <c r="AS215" s="224">
        <f t="shared" si="65"/>
        <v>0</v>
      </c>
    </row>
    <row r="216" spans="2:45" hidden="1" outlineLevel="2">
      <c r="B216" s="9" t="str">
        <f>'Input - Option 2 Detailed Input'!$C$164</f>
        <v>Weeding</v>
      </c>
      <c r="C216" s="44">
        <f>'Input - Option 2 Detailed Input'!H248</f>
        <v>0</v>
      </c>
      <c r="H216" s="343">
        <f t="shared" si="64"/>
        <v>0</v>
      </c>
      <c r="I216" s="211"/>
      <c r="J216" s="224">
        <f t="shared" si="66"/>
        <v>0</v>
      </c>
      <c r="K216" s="224">
        <f t="shared" si="65"/>
        <v>0</v>
      </c>
      <c r="L216" s="224">
        <f t="shared" si="65"/>
        <v>0</v>
      </c>
      <c r="M216" s="224">
        <f t="shared" si="65"/>
        <v>0</v>
      </c>
      <c r="N216" s="224">
        <f t="shared" si="65"/>
        <v>0</v>
      </c>
      <c r="O216" s="224">
        <f t="shared" si="65"/>
        <v>0</v>
      </c>
      <c r="P216" s="224">
        <f t="shared" si="65"/>
        <v>0</v>
      </c>
      <c r="Q216" s="224">
        <f t="shared" si="65"/>
        <v>0</v>
      </c>
      <c r="R216" s="224">
        <f t="shared" si="65"/>
        <v>0</v>
      </c>
      <c r="S216" s="224">
        <f t="shared" si="65"/>
        <v>0</v>
      </c>
      <c r="T216" s="224">
        <f t="shared" si="65"/>
        <v>0</v>
      </c>
      <c r="U216" s="224">
        <f t="shared" si="65"/>
        <v>0</v>
      </c>
      <c r="V216" s="224">
        <f t="shared" si="65"/>
        <v>0</v>
      </c>
      <c r="W216" s="224">
        <f t="shared" si="65"/>
        <v>0</v>
      </c>
      <c r="X216" s="224">
        <f t="shared" si="65"/>
        <v>0</v>
      </c>
      <c r="Y216" s="224">
        <f t="shared" si="65"/>
        <v>0</v>
      </c>
      <c r="Z216" s="224">
        <f t="shared" si="65"/>
        <v>0</v>
      </c>
      <c r="AA216" s="224">
        <f t="shared" si="65"/>
        <v>0</v>
      </c>
      <c r="AB216" s="224">
        <f t="shared" si="65"/>
        <v>0</v>
      </c>
      <c r="AC216" s="224">
        <f t="shared" si="65"/>
        <v>0</v>
      </c>
      <c r="AD216" s="224">
        <f t="shared" si="65"/>
        <v>0</v>
      </c>
      <c r="AE216" s="224">
        <f t="shared" si="65"/>
        <v>0</v>
      </c>
      <c r="AF216" s="224">
        <f t="shared" si="65"/>
        <v>0</v>
      </c>
      <c r="AG216" s="224">
        <f t="shared" si="65"/>
        <v>0</v>
      </c>
      <c r="AH216" s="224">
        <f t="shared" si="65"/>
        <v>0</v>
      </c>
      <c r="AI216" s="224">
        <f t="shared" si="65"/>
        <v>0</v>
      </c>
      <c r="AJ216" s="224">
        <f t="shared" ref="K216:AS218" si="67">-IF((AJ$3=$D$208),($C216)*AJ$4,)</f>
        <v>0</v>
      </c>
      <c r="AK216" s="224">
        <f t="shared" si="67"/>
        <v>0</v>
      </c>
      <c r="AL216" s="224">
        <f t="shared" si="67"/>
        <v>0</v>
      </c>
      <c r="AM216" s="224">
        <f t="shared" si="67"/>
        <v>0</v>
      </c>
      <c r="AN216" s="224">
        <f t="shared" si="67"/>
        <v>0</v>
      </c>
      <c r="AO216" s="224">
        <f t="shared" si="67"/>
        <v>0</v>
      </c>
      <c r="AP216" s="224">
        <f t="shared" si="67"/>
        <v>0</v>
      </c>
      <c r="AQ216" s="224">
        <f t="shared" si="67"/>
        <v>0</v>
      </c>
      <c r="AR216" s="224">
        <f t="shared" si="67"/>
        <v>0</v>
      </c>
      <c r="AS216" s="224">
        <f t="shared" si="67"/>
        <v>0</v>
      </c>
    </row>
    <row r="217" spans="2:45" hidden="1" outlineLevel="2">
      <c r="B217" s="9" t="str">
        <f>'Input - Option 2 Detailed Input'!$C$165</f>
        <v>Epicormic growth removal </v>
      </c>
      <c r="C217" s="44">
        <f>'Input - Option 2 Detailed Input'!H249</f>
        <v>0</v>
      </c>
      <c r="H217" s="343">
        <f t="shared" si="64"/>
        <v>0</v>
      </c>
      <c r="I217" s="211"/>
      <c r="J217" s="224">
        <f t="shared" si="66"/>
        <v>0</v>
      </c>
      <c r="K217" s="224">
        <f t="shared" si="67"/>
        <v>0</v>
      </c>
      <c r="L217" s="224">
        <f t="shared" si="67"/>
        <v>0</v>
      </c>
      <c r="M217" s="224">
        <f t="shared" si="67"/>
        <v>0</v>
      </c>
      <c r="N217" s="224">
        <f t="shared" si="67"/>
        <v>0</v>
      </c>
      <c r="O217" s="224">
        <f t="shared" si="67"/>
        <v>0</v>
      </c>
      <c r="P217" s="224">
        <f t="shared" si="67"/>
        <v>0</v>
      </c>
      <c r="Q217" s="224">
        <f t="shared" si="67"/>
        <v>0</v>
      </c>
      <c r="R217" s="224">
        <f t="shared" si="67"/>
        <v>0</v>
      </c>
      <c r="S217" s="224">
        <f t="shared" si="67"/>
        <v>0</v>
      </c>
      <c r="T217" s="224">
        <f t="shared" si="67"/>
        <v>0</v>
      </c>
      <c r="U217" s="224">
        <f t="shared" si="67"/>
        <v>0</v>
      </c>
      <c r="V217" s="224">
        <f t="shared" si="67"/>
        <v>0</v>
      </c>
      <c r="W217" s="224">
        <f t="shared" si="67"/>
        <v>0</v>
      </c>
      <c r="X217" s="224">
        <f t="shared" si="67"/>
        <v>0</v>
      </c>
      <c r="Y217" s="224">
        <f t="shared" si="67"/>
        <v>0</v>
      </c>
      <c r="Z217" s="224">
        <f t="shared" si="67"/>
        <v>0</v>
      </c>
      <c r="AA217" s="224">
        <f t="shared" si="67"/>
        <v>0</v>
      </c>
      <c r="AB217" s="224">
        <f t="shared" si="67"/>
        <v>0</v>
      </c>
      <c r="AC217" s="224">
        <f t="shared" si="67"/>
        <v>0</v>
      </c>
      <c r="AD217" s="224">
        <f t="shared" si="67"/>
        <v>0</v>
      </c>
      <c r="AE217" s="224">
        <f t="shared" si="67"/>
        <v>0</v>
      </c>
      <c r="AF217" s="224">
        <f t="shared" si="67"/>
        <v>0</v>
      </c>
      <c r="AG217" s="224">
        <f t="shared" si="67"/>
        <v>0</v>
      </c>
      <c r="AH217" s="224">
        <f t="shared" si="67"/>
        <v>0</v>
      </c>
      <c r="AI217" s="224">
        <f t="shared" si="67"/>
        <v>0</v>
      </c>
      <c r="AJ217" s="224">
        <f t="shared" si="67"/>
        <v>0</v>
      </c>
      <c r="AK217" s="224">
        <f t="shared" si="67"/>
        <v>0</v>
      </c>
      <c r="AL217" s="224">
        <f t="shared" si="67"/>
        <v>0</v>
      </c>
      <c r="AM217" s="224">
        <f t="shared" si="67"/>
        <v>0</v>
      </c>
      <c r="AN217" s="224">
        <f t="shared" si="67"/>
        <v>0</v>
      </c>
      <c r="AO217" s="224">
        <f t="shared" si="67"/>
        <v>0</v>
      </c>
      <c r="AP217" s="224">
        <f t="shared" si="67"/>
        <v>0</v>
      </c>
      <c r="AQ217" s="224">
        <f t="shared" si="67"/>
        <v>0</v>
      </c>
      <c r="AR217" s="224">
        <f t="shared" si="67"/>
        <v>0</v>
      </c>
      <c r="AS217" s="224">
        <f t="shared" si="67"/>
        <v>0</v>
      </c>
    </row>
    <row r="218" spans="2:45" hidden="1" outlineLevel="2">
      <c r="B218" s="9" t="str">
        <f>'Input - Option 2 Detailed Input'!$C$166</f>
        <v xml:space="preserve">Costs associated with standpipes </v>
      </c>
      <c r="C218" s="44">
        <f>'Input - Option 2 Detailed Input'!H250</f>
        <v>0</v>
      </c>
      <c r="H218" s="343">
        <f t="shared" si="64"/>
        <v>0</v>
      </c>
      <c r="I218" s="211"/>
      <c r="J218" s="224">
        <f t="shared" si="66"/>
        <v>0</v>
      </c>
      <c r="K218" s="224">
        <f t="shared" si="67"/>
        <v>0</v>
      </c>
      <c r="L218" s="224">
        <f t="shared" si="67"/>
        <v>0</v>
      </c>
      <c r="M218" s="224">
        <f t="shared" si="67"/>
        <v>0</v>
      </c>
      <c r="N218" s="224">
        <f t="shared" si="67"/>
        <v>0</v>
      </c>
      <c r="O218" s="224">
        <f t="shared" si="67"/>
        <v>0</v>
      </c>
      <c r="P218" s="224">
        <f t="shared" si="67"/>
        <v>0</v>
      </c>
      <c r="Q218" s="224">
        <f t="shared" si="67"/>
        <v>0</v>
      </c>
      <c r="R218" s="224">
        <f t="shared" si="67"/>
        <v>0</v>
      </c>
      <c r="S218" s="224">
        <f t="shared" si="67"/>
        <v>0</v>
      </c>
      <c r="T218" s="224">
        <f t="shared" si="67"/>
        <v>0</v>
      </c>
      <c r="U218" s="224">
        <f t="shared" si="67"/>
        <v>0</v>
      </c>
      <c r="V218" s="224">
        <f t="shared" si="67"/>
        <v>0</v>
      </c>
      <c r="W218" s="224">
        <f t="shared" si="67"/>
        <v>0</v>
      </c>
      <c r="X218" s="224">
        <f t="shared" si="67"/>
        <v>0</v>
      </c>
      <c r="Y218" s="224">
        <f t="shared" si="67"/>
        <v>0</v>
      </c>
      <c r="Z218" s="224">
        <f t="shared" si="67"/>
        <v>0</v>
      </c>
      <c r="AA218" s="224">
        <f t="shared" si="67"/>
        <v>0</v>
      </c>
      <c r="AB218" s="224">
        <f t="shared" si="67"/>
        <v>0</v>
      </c>
      <c r="AC218" s="224">
        <f t="shared" si="67"/>
        <v>0</v>
      </c>
      <c r="AD218" s="224">
        <f t="shared" si="67"/>
        <v>0</v>
      </c>
      <c r="AE218" s="224">
        <f t="shared" si="67"/>
        <v>0</v>
      </c>
      <c r="AF218" s="224">
        <f t="shared" si="67"/>
        <v>0</v>
      </c>
      <c r="AG218" s="224">
        <f t="shared" si="67"/>
        <v>0</v>
      </c>
      <c r="AH218" s="224">
        <f t="shared" si="67"/>
        <v>0</v>
      </c>
      <c r="AI218" s="224">
        <f t="shared" si="67"/>
        <v>0</v>
      </c>
      <c r="AJ218" s="224">
        <f t="shared" si="67"/>
        <v>0</v>
      </c>
      <c r="AK218" s="224">
        <f t="shared" si="67"/>
        <v>0</v>
      </c>
      <c r="AL218" s="224">
        <f t="shared" si="67"/>
        <v>0</v>
      </c>
      <c r="AM218" s="224">
        <f t="shared" si="67"/>
        <v>0</v>
      </c>
      <c r="AN218" s="224">
        <f t="shared" si="67"/>
        <v>0</v>
      </c>
      <c r="AO218" s="224">
        <f t="shared" si="67"/>
        <v>0</v>
      </c>
      <c r="AP218" s="224">
        <f t="shared" si="67"/>
        <v>0</v>
      </c>
      <c r="AQ218" s="224">
        <f t="shared" si="67"/>
        <v>0</v>
      </c>
      <c r="AR218" s="224">
        <f t="shared" si="67"/>
        <v>0</v>
      </c>
      <c r="AS218" s="224">
        <f t="shared" si="67"/>
        <v>0</v>
      </c>
    </row>
    <row r="219" spans="2:45" hidden="1" outlineLevel="2">
      <c r="H219" s="343"/>
      <c r="I219" s="213"/>
      <c r="J219" s="224"/>
      <c r="K219" s="224"/>
      <c r="L219" s="224"/>
      <c r="M219" s="224"/>
      <c r="N219" s="224"/>
      <c r="O219" s="224"/>
      <c r="P219" s="224"/>
      <c r="Q219" s="224"/>
      <c r="R219" s="224"/>
      <c r="S219" s="224"/>
      <c r="T219" s="224"/>
      <c r="U219" s="224"/>
      <c r="V219" s="224"/>
      <c r="W219" s="224"/>
      <c r="X219" s="224"/>
      <c r="Y219" s="224"/>
      <c r="Z219" s="224"/>
      <c r="AA219" s="224"/>
      <c r="AB219" s="224"/>
      <c r="AC219" s="224"/>
      <c r="AD219" s="224"/>
      <c r="AE219" s="224"/>
      <c r="AF219" s="224"/>
      <c r="AG219" s="224"/>
      <c r="AH219" s="224"/>
      <c r="AI219" s="224"/>
      <c r="AJ219" s="224"/>
      <c r="AK219" s="224"/>
      <c r="AL219" s="224"/>
      <c r="AM219" s="224"/>
      <c r="AN219" s="224"/>
      <c r="AO219" s="224"/>
      <c r="AP219" s="224"/>
      <c r="AQ219" s="224"/>
      <c r="AR219" s="224"/>
      <c r="AS219" s="224"/>
    </row>
    <row r="220" spans="2:45" hidden="1" outlineLevel="2">
      <c r="B220" s="103" t="str">
        <f>'Input - Option 2 Detailed Input'!C252</f>
        <v>Year 5 - Additional Costs</v>
      </c>
      <c r="C220" s="25" t="str">
        <f>'Input - Option 2 Detailed Input'!G252</f>
        <v>Total Costs (per visit)</v>
      </c>
      <c r="H220" s="343"/>
      <c r="I220" s="213"/>
      <c r="J220" s="224"/>
      <c r="K220" s="224"/>
      <c r="L220" s="224"/>
      <c r="M220" s="224"/>
      <c r="N220" s="224"/>
      <c r="O220" s="224"/>
      <c r="P220" s="224"/>
      <c r="Q220" s="224"/>
      <c r="R220" s="224"/>
      <c r="S220" s="224"/>
      <c r="T220" s="224"/>
      <c r="U220" s="224"/>
      <c r="V220" s="224"/>
      <c r="W220" s="224"/>
      <c r="X220" s="224"/>
      <c r="Y220" s="224"/>
      <c r="Z220" s="224"/>
      <c r="AA220" s="224"/>
      <c r="AB220" s="224"/>
      <c r="AC220" s="224"/>
      <c r="AD220" s="224"/>
      <c r="AE220" s="224"/>
      <c r="AF220" s="224"/>
      <c r="AG220" s="224"/>
      <c r="AH220" s="224"/>
      <c r="AI220" s="224"/>
      <c r="AJ220" s="224"/>
      <c r="AK220" s="224"/>
      <c r="AL220" s="224"/>
      <c r="AM220" s="224"/>
      <c r="AN220" s="224"/>
      <c r="AO220" s="224"/>
      <c r="AP220" s="224"/>
      <c r="AQ220" s="224"/>
      <c r="AR220" s="224"/>
      <c r="AS220" s="224"/>
    </row>
    <row r="221" spans="2:45" hidden="1" outlineLevel="2">
      <c r="B221" s="9" t="str">
        <f>'Input - Option 2 Detailed Input'!C253</f>
        <v xml:space="preserve">[Additional costs #1] </v>
      </c>
      <c r="C221" s="44">
        <f>'Input - Option 2 Detailed Input'!G253</f>
        <v>0</v>
      </c>
      <c r="H221" s="343">
        <f>SUM(J221:EJ221)</f>
        <v>0</v>
      </c>
      <c r="I221" s="211"/>
      <c r="J221" s="224">
        <f>-IF((J$3=$D$208),($C221)*J$4,)</f>
        <v>0</v>
      </c>
      <c r="K221" s="224">
        <f t="shared" ref="K221:AS225" si="68">-IF((K$3=$D$208),($C221)*K$4,)</f>
        <v>0</v>
      </c>
      <c r="L221" s="224">
        <f t="shared" si="68"/>
        <v>0</v>
      </c>
      <c r="M221" s="224">
        <f t="shared" si="68"/>
        <v>0</v>
      </c>
      <c r="N221" s="224">
        <f t="shared" si="68"/>
        <v>0</v>
      </c>
      <c r="O221" s="224">
        <f t="shared" si="68"/>
        <v>0</v>
      </c>
      <c r="P221" s="224">
        <f t="shared" si="68"/>
        <v>0</v>
      </c>
      <c r="Q221" s="224">
        <f t="shared" si="68"/>
        <v>0</v>
      </c>
      <c r="R221" s="224">
        <f t="shared" si="68"/>
        <v>0</v>
      </c>
      <c r="S221" s="224">
        <f t="shared" si="68"/>
        <v>0</v>
      </c>
      <c r="T221" s="224">
        <f t="shared" si="68"/>
        <v>0</v>
      </c>
      <c r="U221" s="224">
        <f t="shared" si="68"/>
        <v>0</v>
      </c>
      <c r="V221" s="224">
        <f t="shared" si="68"/>
        <v>0</v>
      </c>
      <c r="W221" s="224">
        <f t="shared" si="68"/>
        <v>0</v>
      </c>
      <c r="X221" s="224">
        <f t="shared" si="68"/>
        <v>0</v>
      </c>
      <c r="Y221" s="224">
        <f t="shared" si="68"/>
        <v>0</v>
      </c>
      <c r="Z221" s="224">
        <f t="shared" si="68"/>
        <v>0</v>
      </c>
      <c r="AA221" s="224">
        <f t="shared" si="68"/>
        <v>0</v>
      </c>
      <c r="AB221" s="224">
        <f t="shared" si="68"/>
        <v>0</v>
      </c>
      <c r="AC221" s="224">
        <f t="shared" si="68"/>
        <v>0</v>
      </c>
      <c r="AD221" s="224">
        <f t="shared" si="68"/>
        <v>0</v>
      </c>
      <c r="AE221" s="224">
        <f t="shared" si="68"/>
        <v>0</v>
      </c>
      <c r="AF221" s="224">
        <f t="shared" si="68"/>
        <v>0</v>
      </c>
      <c r="AG221" s="224">
        <f t="shared" si="68"/>
        <v>0</v>
      </c>
      <c r="AH221" s="224">
        <f t="shared" si="68"/>
        <v>0</v>
      </c>
      <c r="AI221" s="224">
        <f t="shared" si="68"/>
        <v>0</v>
      </c>
      <c r="AJ221" s="224">
        <f t="shared" si="68"/>
        <v>0</v>
      </c>
      <c r="AK221" s="224">
        <f t="shared" si="68"/>
        <v>0</v>
      </c>
      <c r="AL221" s="224">
        <f t="shared" si="68"/>
        <v>0</v>
      </c>
      <c r="AM221" s="224">
        <f t="shared" si="68"/>
        <v>0</v>
      </c>
      <c r="AN221" s="224">
        <f t="shared" si="68"/>
        <v>0</v>
      </c>
      <c r="AO221" s="224">
        <f t="shared" si="68"/>
        <v>0</v>
      </c>
      <c r="AP221" s="224">
        <f t="shared" si="68"/>
        <v>0</v>
      </c>
      <c r="AQ221" s="224">
        <f t="shared" si="68"/>
        <v>0</v>
      </c>
      <c r="AR221" s="224">
        <f t="shared" si="68"/>
        <v>0</v>
      </c>
      <c r="AS221" s="224">
        <f t="shared" si="68"/>
        <v>0</v>
      </c>
    </row>
    <row r="222" spans="2:45" hidden="1" outlineLevel="2">
      <c r="B222" s="9" t="str">
        <f>'Input - Option 2 Detailed Input'!C254</f>
        <v>[Additional costs #2]</v>
      </c>
      <c r="C222" s="44">
        <f>'Input - Option 2 Detailed Input'!G254</f>
        <v>0</v>
      </c>
      <c r="H222" s="343">
        <f>SUM(J222:EJ222)</f>
        <v>0</v>
      </c>
      <c r="I222" s="211"/>
      <c r="J222" s="224">
        <f t="shared" ref="J222:Y225" si="69">-IF((J$3=$D$208),($C222)*J$4,)</f>
        <v>0</v>
      </c>
      <c r="K222" s="224">
        <f t="shared" si="69"/>
        <v>0</v>
      </c>
      <c r="L222" s="224">
        <f t="shared" si="69"/>
        <v>0</v>
      </c>
      <c r="M222" s="224">
        <f t="shared" si="69"/>
        <v>0</v>
      </c>
      <c r="N222" s="224">
        <f t="shared" si="69"/>
        <v>0</v>
      </c>
      <c r="O222" s="224">
        <f t="shared" si="69"/>
        <v>0</v>
      </c>
      <c r="P222" s="224">
        <f t="shared" si="69"/>
        <v>0</v>
      </c>
      <c r="Q222" s="224">
        <f t="shared" si="69"/>
        <v>0</v>
      </c>
      <c r="R222" s="224">
        <f t="shared" si="69"/>
        <v>0</v>
      </c>
      <c r="S222" s="224">
        <f t="shared" si="69"/>
        <v>0</v>
      </c>
      <c r="T222" s="224">
        <f t="shared" si="69"/>
        <v>0</v>
      </c>
      <c r="U222" s="224">
        <f t="shared" si="69"/>
        <v>0</v>
      </c>
      <c r="V222" s="224">
        <f t="shared" si="69"/>
        <v>0</v>
      </c>
      <c r="W222" s="224">
        <f t="shared" si="69"/>
        <v>0</v>
      </c>
      <c r="X222" s="224">
        <f t="shared" si="69"/>
        <v>0</v>
      </c>
      <c r="Y222" s="224">
        <f t="shared" si="69"/>
        <v>0</v>
      </c>
      <c r="Z222" s="224">
        <f t="shared" si="68"/>
        <v>0</v>
      </c>
      <c r="AA222" s="224">
        <f t="shared" si="68"/>
        <v>0</v>
      </c>
      <c r="AB222" s="224">
        <f t="shared" si="68"/>
        <v>0</v>
      </c>
      <c r="AC222" s="224">
        <f t="shared" si="68"/>
        <v>0</v>
      </c>
      <c r="AD222" s="224">
        <f t="shared" si="68"/>
        <v>0</v>
      </c>
      <c r="AE222" s="224">
        <f t="shared" si="68"/>
        <v>0</v>
      </c>
      <c r="AF222" s="224">
        <f t="shared" si="68"/>
        <v>0</v>
      </c>
      <c r="AG222" s="224">
        <f t="shared" si="68"/>
        <v>0</v>
      </c>
      <c r="AH222" s="224">
        <f t="shared" si="68"/>
        <v>0</v>
      </c>
      <c r="AI222" s="224">
        <f t="shared" si="68"/>
        <v>0</v>
      </c>
      <c r="AJ222" s="224">
        <f t="shared" si="68"/>
        <v>0</v>
      </c>
      <c r="AK222" s="224">
        <f t="shared" si="68"/>
        <v>0</v>
      </c>
      <c r="AL222" s="224">
        <f t="shared" si="68"/>
        <v>0</v>
      </c>
      <c r="AM222" s="224">
        <f t="shared" si="68"/>
        <v>0</v>
      </c>
      <c r="AN222" s="224">
        <f t="shared" si="68"/>
        <v>0</v>
      </c>
      <c r="AO222" s="224">
        <f t="shared" si="68"/>
        <v>0</v>
      </c>
      <c r="AP222" s="224">
        <f t="shared" si="68"/>
        <v>0</v>
      </c>
      <c r="AQ222" s="224">
        <f t="shared" si="68"/>
        <v>0</v>
      </c>
      <c r="AR222" s="224">
        <f t="shared" si="68"/>
        <v>0</v>
      </c>
      <c r="AS222" s="224">
        <f t="shared" si="68"/>
        <v>0</v>
      </c>
    </row>
    <row r="223" spans="2:45" hidden="1" outlineLevel="2">
      <c r="B223" s="9" t="str">
        <f>'Input - Option 2 Detailed Input'!C255</f>
        <v xml:space="preserve">[Additional costs #3] </v>
      </c>
      <c r="C223" s="44">
        <f>'Input - Option 2 Detailed Input'!G255</f>
        <v>0</v>
      </c>
      <c r="H223" s="343">
        <f>SUM(J223:EJ223)</f>
        <v>0</v>
      </c>
      <c r="I223" s="211"/>
      <c r="J223" s="224">
        <f t="shared" si="69"/>
        <v>0</v>
      </c>
      <c r="K223" s="224">
        <f t="shared" si="68"/>
        <v>0</v>
      </c>
      <c r="L223" s="224">
        <f t="shared" si="68"/>
        <v>0</v>
      </c>
      <c r="M223" s="224">
        <f t="shared" si="68"/>
        <v>0</v>
      </c>
      <c r="N223" s="224">
        <f t="shared" si="68"/>
        <v>0</v>
      </c>
      <c r="O223" s="224">
        <f t="shared" si="68"/>
        <v>0</v>
      </c>
      <c r="P223" s="224">
        <f t="shared" si="68"/>
        <v>0</v>
      </c>
      <c r="Q223" s="224">
        <f t="shared" si="68"/>
        <v>0</v>
      </c>
      <c r="R223" s="224">
        <f t="shared" si="68"/>
        <v>0</v>
      </c>
      <c r="S223" s="224">
        <f t="shared" si="68"/>
        <v>0</v>
      </c>
      <c r="T223" s="224">
        <f t="shared" si="68"/>
        <v>0</v>
      </c>
      <c r="U223" s="224">
        <f t="shared" si="68"/>
        <v>0</v>
      </c>
      <c r="V223" s="224">
        <f t="shared" si="68"/>
        <v>0</v>
      </c>
      <c r="W223" s="224">
        <f t="shared" si="68"/>
        <v>0</v>
      </c>
      <c r="X223" s="224">
        <f t="shared" si="68"/>
        <v>0</v>
      </c>
      <c r="Y223" s="224">
        <f t="shared" si="68"/>
        <v>0</v>
      </c>
      <c r="Z223" s="224">
        <f t="shared" si="68"/>
        <v>0</v>
      </c>
      <c r="AA223" s="224">
        <f t="shared" si="68"/>
        <v>0</v>
      </c>
      <c r="AB223" s="224">
        <f t="shared" si="68"/>
        <v>0</v>
      </c>
      <c r="AC223" s="224">
        <f t="shared" si="68"/>
        <v>0</v>
      </c>
      <c r="AD223" s="224">
        <f t="shared" si="68"/>
        <v>0</v>
      </c>
      <c r="AE223" s="224">
        <f t="shared" si="68"/>
        <v>0</v>
      </c>
      <c r="AF223" s="224">
        <f t="shared" si="68"/>
        <v>0</v>
      </c>
      <c r="AG223" s="224">
        <f t="shared" si="68"/>
        <v>0</v>
      </c>
      <c r="AH223" s="224">
        <f t="shared" si="68"/>
        <v>0</v>
      </c>
      <c r="AI223" s="224">
        <f t="shared" si="68"/>
        <v>0</v>
      </c>
      <c r="AJ223" s="224">
        <f t="shared" si="68"/>
        <v>0</v>
      </c>
      <c r="AK223" s="224">
        <f t="shared" si="68"/>
        <v>0</v>
      </c>
      <c r="AL223" s="224">
        <f t="shared" si="68"/>
        <v>0</v>
      </c>
      <c r="AM223" s="224">
        <f t="shared" si="68"/>
        <v>0</v>
      </c>
      <c r="AN223" s="224">
        <f t="shared" si="68"/>
        <v>0</v>
      </c>
      <c r="AO223" s="224">
        <f t="shared" si="68"/>
        <v>0</v>
      </c>
      <c r="AP223" s="224">
        <f t="shared" si="68"/>
        <v>0</v>
      </c>
      <c r="AQ223" s="224">
        <f t="shared" si="68"/>
        <v>0</v>
      </c>
      <c r="AR223" s="224">
        <f t="shared" si="68"/>
        <v>0</v>
      </c>
      <c r="AS223" s="224">
        <f t="shared" si="68"/>
        <v>0</v>
      </c>
    </row>
    <row r="224" spans="2:45" hidden="1" outlineLevel="2">
      <c r="B224" s="9" t="str">
        <f>'Input - Option 2 Detailed Input'!C256</f>
        <v>[Additional costs #4]</v>
      </c>
      <c r="C224" s="44">
        <f>'Input - Option 2 Detailed Input'!G256</f>
        <v>0</v>
      </c>
      <c r="H224" s="343">
        <f>SUM(J224:EJ224)</f>
        <v>0</v>
      </c>
      <c r="I224" s="211"/>
      <c r="J224" s="224">
        <f t="shared" si="69"/>
        <v>0</v>
      </c>
      <c r="K224" s="224">
        <f t="shared" si="68"/>
        <v>0</v>
      </c>
      <c r="L224" s="224">
        <f t="shared" si="68"/>
        <v>0</v>
      </c>
      <c r="M224" s="224">
        <f t="shared" si="68"/>
        <v>0</v>
      </c>
      <c r="N224" s="224">
        <f t="shared" si="68"/>
        <v>0</v>
      </c>
      <c r="O224" s="224">
        <f t="shared" si="68"/>
        <v>0</v>
      </c>
      <c r="P224" s="224">
        <f t="shared" si="68"/>
        <v>0</v>
      </c>
      <c r="Q224" s="224">
        <f t="shared" si="68"/>
        <v>0</v>
      </c>
      <c r="R224" s="224">
        <f t="shared" si="68"/>
        <v>0</v>
      </c>
      <c r="S224" s="224">
        <f t="shared" si="68"/>
        <v>0</v>
      </c>
      <c r="T224" s="224">
        <f t="shared" si="68"/>
        <v>0</v>
      </c>
      <c r="U224" s="224">
        <f t="shared" si="68"/>
        <v>0</v>
      </c>
      <c r="V224" s="224">
        <f t="shared" si="68"/>
        <v>0</v>
      </c>
      <c r="W224" s="224">
        <f t="shared" si="68"/>
        <v>0</v>
      </c>
      <c r="X224" s="224">
        <f t="shared" si="68"/>
        <v>0</v>
      </c>
      <c r="Y224" s="224">
        <f t="shared" si="68"/>
        <v>0</v>
      </c>
      <c r="Z224" s="224">
        <f t="shared" si="68"/>
        <v>0</v>
      </c>
      <c r="AA224" s="224">
        <f t="shared" si="68"/>
        <v>0</v>
      </c>
      <c r="AB224" s="224">
        <f t="shared" si="68"/>
        <v>0</v>
      </c>
      <c r="AC224" s="224">
        <f t="shared" si="68"/>
        <v>0</v>
      </c>
      <c r="AD224" s="224">
        <f t="shared" si="68"/>
        <v>0</v>
      </c>
      <c r="AE224" s="224">
        <f t="shared" si="68"/>
        <v>0</v>
      </c>
      <c r="AF224" s="224">
        <f t="shared" si="68"/>
        <v>0</v>
      </c>
      <c r="AG224" s="224">
        <f t="shared" si="68"/>
        <v>0</v>
      </c>
      <c r="AH224" s="224">
        <f t="shared" si="68"/>
        <v>0</v>
      </c>
      <c r="AI224" s="224">
        <f t="shared" si="68"/>
        <v>0</v>
      </c>
      <c r="AJ224" s="224">
        <f t="shared" si="68"/>
        <v>0</v>
      </c>
      <c r="AK224" s="224">
        <f t="shared" si="68"/>
        <v>0</v>
      </c>
      <c r="AL224" s="224">
        <f t="shared" si="68"/>
        <v>0</v>
      </c>
      <c r="AM224" s="224">
        <f t="shared" si="68"/>
        <v>0</v>
      </c>
      <c r="AN224" s="224">
        <f t="shared" si="68"/>
        <v>0</v>
      </c>
      <c r="AO224" s="224">
        <f t="shared" si="68"/>
        <v>0</v>
      </c>
      <c r="AP224" s="224">
        <f t="shared" si="68"/>
        <v>0</v>
      </c>
      <c r="AQ224" s="224">
        <f t="shared" si="68"/>
        <v>0</v>
      </c>
      <c r="AR224" s="224">
        <f t="shared" si="68"/>
        <v>0</v>
      </c>
      <c r="AS224" s="224">
        <f t="shared" si="68"/>
        <v>0</v>
      </c>
    </row>
    <row r="225" spans="1:45" hidden="1" outlineLevel="2">
      <c r="B225" s="9" t="str">
        <f>'Input - Option 2 Detailed Input'!C257</f>
        <v xml:space="preserve">[Additional costs #5] </v>
      </c>
      <c r="C225" s="44">
        <f>'Input - Option 2 Detailed Input'!G257</f>
        <v>0</v>
      </c>
      <c r="H225" s="343">
        <f>SUM(J225:EJ225)</f>
        <v>0</v>
      </c>
      <c r="I225" s="211"/>
      <c r="J225" s="224">
        <f t="shared" si="69"/>
        <v>0</v>
      </c>
      <c r="K225" s="224">
        <f t="shared" si="68"/>
        <v>0</v>
      </c>
      <c r="L225" s="224">
        <f t="shared" si="68"/>
        <v>0</v>
      </c>
      <c r="M225" s="224">
        <f t="shared" si="68"/>
        <v>0</v>
      </c>
      <c r="N225" s="224">
        <f t="shared" si="68"/>
        <v>0</v>
      </c>
      <c r="O225" s="224">
        <f t="shared" si="68"/>
        <v>0</v>
      </c>
      <c r="P225" s="224">
        <f t="shared" si="68"/>
        <v>0</v>
      </c>
      <c r="Q225" s="224">
        <f t="shared" si="68"/>
        <v>0</v>
      </c>
      <c r="R225" s="224">
        <f t="shared" si="68"/>
        <v>0</v>
      </c>
      <c r="S225" s="224">
        <f t="shared" si="68"/>
        <v>0</v>
      </c>
      <c r="T225" s="224">
        <f t="shared" si="68"/>
        <v>0</v>
      </c>
      <c r="U225" s="224">
        <f t="shared" si="68"/>
        <v>0</v>
      </c>
      <c r="V225" s="224">
        <f t="shared" si="68"/>
        <v>0</v>
      </c>
      <c r="W225" s="224">
        <f t="shared" si="68"/>
        <v>0</v>
      </c>
      <c r="X225" s="224">
        <f t="shared" si="68"/>
        <v>0</v>
      </c>
      <c r="Y225" s="224">
        <f t="shared" si="68"/>
        <v>0</v>
      </c>
      <c r="Z225" s="224">
        <f t="shared" si="68"/>
        <v>0</v>
      </c>
      <c r="AA225" s="224">
        <f t="shared" si="68"/>
        <v>0</v>
      </c>
      <c r="AB225" s="224">
        <f t="shared" si="68"/>
        <v>0</v>
      </c>
      <c r="AC225" s="224">
        <f t="shared" si="68"/>
        <v>0</v>
      </c>
      <c r="AD225" s="224">
        <f t="shared" si="68"/>
        <v>0</v>
      </c>
      <c r="AE225" s="224">
        <f t="shared" si="68"/>
        <v>0</v>
      </c>
      <c r="AF225" s="224">
        <f t="shared" si="68"/>
        <v>0</v>
      </c>
      <c r="AG225" s="224">
        <f t="shared" si="68"/>
        <v>0</v>
      </c>
      <c r="AH225" s="224">
        <f t="shared" si="68"/>
        <v>0</v>
      </c>
      <c r="AI225" s="224">
        <f t="shared" si="68"/>
        <v>0</v>
      </c>
      <c r="AJ225" s="224">
        <f t="shared" si="68"/>
        <v>0</v>
      </c>
      <c r="AK225" s="224">
        <f t="shared" si="68"/>
        <v>0</v>
      </c>
      <c r="AL225" s="224">
        <f t="shared" si="68"/>
        <v>0</v>
      </c>
      <c r="AM225" s="224">
        <f t="shared" si="68"/>
        <v>0</v>
      </c>
      <c r="AN225" s="224">
        <f t="shared" si="68"/>
        <v>0</v>
      </c>
      <c r="AO225" s="224">
        <f t="shared" si="68"/>
        <v>0</v>
      </c>
      <c r="AP225" s="224">
        <f t="shared" si="68"/>
        <v>0</v>
      </c>
      <c r="AQ225" s="224">
        <f t="shared" si="68"/>
        <v>0</v>
      </c>
      <c r="AR225" s="224">
        <f t="shared" si="68"/>
        <v>0</v>
      </c>
      <c r="AS225" s="224">
        <f t="shared" si="68"/>
        <v>0</v>
      </c>
    </row>
    <row r="226" spans="1:45" hidden="1" outlineLevel="2">
      <c r="H226" s="35"/>
      <c r="I226" s="213"/>
      <c r="J226" s="224"/>
    </row>
    <row r="227" spans="1:45" hidden="1" outlineLevel="2">
      <c r="A227" s="15"/>
      <c r="B227" s="16" t="s">
        <v>314</v>
      </c>
      <c r="C227" s="12"/>
      <c r="D227" s="12"/>
      <c r="E227" s="12"/>
      <c r="F227" s="12"/>
      <c r="G227" s="12"/>
      <c r="H227" s="259">
        <f>SUM(H221:H225,H209:H218)</f>
        <v>0</v>
      </c>
      <c r="I227" s="215"/>
      <c r="J227" s="225">
        <f>SUM(J209:J218,J221:J225)</f>
        <v>0</v>
      </c>
      <c r="K227" s="225">
        <f t="shared" ref="K227:AS227" si="70">SUM(K209:K218,K221:K225)</f>
        <v>0</v>
      </c>
      <c r="L227" s="225">
        <f t="shared" si="70"/>
        <v>0</v>
      </c>
      <c r="M227" s="225">
        <f t="shared" si="70"/>
        <v>0</v>
      </c>
      <c r="N227" s="225">
        <f>SUM(N209:N218,N221:N225)</f>
        <v>0</v>
      </c>
      <c r="O227" s="225">
        <f t="shared" si="70"/>
        <v>0</v>
      </c>
      <c r="P227" s="225">
        <f t="shared" si="70"/>
        <v>0</v>
      </c>
      <c r="Q227" s="225">
        <f t="shared" si="70"/>
        <v>0</v>
      </c>
      <c r="R227" s="225">
        <f t="shared" si="70"/>
        <v>0</v>
      </c>
      <c r="S227" s="225">
        <f t="shared" si="70"/>
        <v>0</v>
      </c>
      <c r="T227" s="225">
        <f t="shared" si="70"/>
        <v>0</v>
      </c>
      <c r="U227" s="225">
        <f t="shared" si="70"/>
        <v>0</v>
      </c>
      <c r="V227" s="225">
        <f t="shared" si="70"/>
        <v>0</v>
      </c>
      <c r="W227" s="225">
        <f t="shared" si="70"/>
        <v>0</v>
      </c>
      <c r="X227" s="225">
        <f t="shared" si="70"/>
        <v>0</v>
      </c>
      <c r="Y227" s="225">
        <f t="shared" si="70"/>
        <v>0</v>
      </c>
      <c r="Z227" s="225">
        <f t="shared" si="70"/>
        <v>0</v>
      </c>
      <c r="AA227" s="225">
        <f t="shared" si="70"/>
        <v>0</v>
      </c>
      <c r="AB227" s="225">
        <f t="shared" si="70"/>
        <v>0</v>
      </c>
      <c r="AC227" s="225">
        <f t="shared" si="70"/>
        <v>0</v>
      </c>
      <c r="AD227" s="225">
        <f t="shared" si="70"/>
        <v>0</v>
      </c>
      <c r="AE227" s="225">
        <f t="shared" si="70"/>
        <v>0</v>
      </c>
      <c r="AF227" s="225">
        <f t="shared" si="70"/>
        <v>0</v>
      </c>
      <c r="AG227" s="225">
        <f t="shared" si="70"/>
        <v>0</v>
      </c>
      <c r="AH227" s="225">
        <f t="shared" si="70"/>
        <v>0</v>
      </c>
      <c r="AI227" s="225">
        <f t="shared" si="70"/>
        <v>0</v>
      </c>
      <c r="AJ227" s="225">
        <f t="shared" si="70"/>
        <v>0</v>
      </c>
      <c r="AK227" s="225">
        <f t="shared" si="70"/>
        <v>0</v>
      </c>
      <c r="AL227" s="225">
        <f t="shared" si="70"/>
        <v>0</v>
      </c>
      <c r="AM227" s="225">
        <f t="shared" si="70"/>
        <v>0</v>
      </c>
      <c r="AN227" s="225">
        <f t="shared" si="70"/>
        <v>0</v>
      </c>
      <c r="AO227" s="225">
        <f t="shared" si="70"/>
        <v>0</v>
      </c>
      <c r="AP227" s="225">
        <f t="shared" si="70"/>
        <v>0</v>
      </c>
      <c r="AQ227" s="225">
        <f t="shared" si="70"/>
        <v>0</v>
      </c>
      <c r="AR227" s="225">
        <f t="shared" si="70"/>
        <v>0</v>
      </c>
      <c r="AS227" s="225">
        <f t="shared" si="70"/>
        <v>0</v>
      </c>
    </row>
    <row r="228" spans="1:45" hidden="1" outlineLevel="2">
      <c r="H228" s="35"/>
      <c r="I228" s="213"/>
    </row>
    <row r="229" spans="1:45" hidden="1" outlineLevel="2">
      <c r="B229" s="103" t="str">
        <f>'Input - Option 2 Detailed Input'!C259</f>
        <v>Year 6 of establishment and maintenance</v>
      </c>
      <c r="C229" s="25" t="str">
        <f>'Input - Option 2 Detailed Input'!H260</f>
        <v>Total Costs (per visit)</v>
      </c>
      <c r="D229" s="39">
        <f>IF($C$3=$C$4,'Input - Option 2 Detailed Input'!D259,)</f>
        <v>0</v>
      </c>
      <c r="H229" s="35"/>
      <c r="I229" s="213"/>
    </row>
    <row r="230" spans="1:45" hidden="1" outlineLevel="2">
      <c r="B230" s="9" t="str">
        <f>'Input - Option 2 Detailed Input'!$C$156</f>
        <v>Recuring unitary maintenance visits (e.g. watering, mulching, etc.)</v>
      </c>
      <c r="C230" s="44">
        <f>'Input - Option 2 Detailed Input'!H261</f>
        <v>0</v>
      </c>
      <c r="H230" s="343">
        <f t="shared" ref="H230:H239" si="71">SUM(J230:EJ230)</f>
        <v>0</v>
      </c>
      <c r="I230" s="211"/>
      <c r="J230" s="224">
        <f>-IF((J$3=$D$229),($C230)*J$4,)</f>
        <v>0</v>
      </c>
      <c r="K230" s="224">
        <f t="shared" ref="K230:AS237" si="72">-IF((K$3=$D$229),($C230)*K$4,)</f>
        <v>0</v>
      </c>
      <c r="L230" s="224">
        <f t="shared" si="72"/>
        <v>0</v>
      </c>
      <c r="M230" s="224">
        <f t="shared" si="72"/>
        <v>0</v>
      </c>
      <c r="N230" s="224">
        <f t="shared" si="72"/>
        <v>0</v>
      </c>
      <c r="O230" s="224">
        <f t="shared" si="72"/>
        <v>0</v>
      </c>
      <c r="P230" s="224">
        <f t="shared" si="72"/>
        <v>0</v>
      </c>
      <c r="Q230" s="224">
        <f t="shared" si="72"/>
        <v>0</v>
      </c>
      <c r="R230" s="224">
        <f t="shared" si="72"/>
        <v>0</v>
      </c>
      <c r="S230" s="224">
        <f t="shared" si="72"/>
        <v>0</v>
      </c>
      <c r="T230" s="224">
        <f t="shared" si="72"/>
        <v>0</v>
      </c>
      <c r="U230" s="224">
        <f t="shared" si="72"/>
        <v>0</v>
      </c>
      <c r="V230" s="224">
        <f t="shared" si="72"/>
        <v>0</v>
      </c>
      <c r="W230" s="224">
        <f t="shared" si="72"/>
        <v>0</v>
      </c>
      <c r="X230" s="224">
        <f t="shared" si="72"/>
        <v>0</v>
      </c>
      <c r="Y230" s="224">
        <f t="shared" si="72"/>
        <v>0</v>
      </c>
      <c r="Z230" s="224">
        <f t="shared" si="72"/>
        <v>0</v>
      </c>
      <c r="AA230" s="224">
        <f t="shared" si="72"/>
        <v>0</v>
      </c>
      <c r="AB230" s="224">
        <f t="shared" si="72"/>
        <v>0</v>
      </c>
      <c r="AC230" s="224">
        <f t="shared" si="72"/>
        <v>0</v>
      </c>
      <c r="AD230" s="224">
        <f t="shared" si="72"/>
        <v>0</v>
      </c>
      <c r="AE230" s="224">
        <f t="shared" si="72"/>
        <v>0</v>
      </c>
      <c r="AF230" s="224">
        <f t="shared" si="72"/>
        <v>0</v>
      </c>
      <c r="AG230" s="224">
        <f t="shared" si="72"/>
        <v>0</v>
      </c>
      <c r="AH230" s="224">
        <f t="shared" si="72"/>
        <v>0</v>
      </c>
      <c r="AI230" s="224">
        <f t="shared" si="72"/>
        <v>0</v>
      </c>
      <c r="AJ230" s="224">
        <f t="shared" si="72"/>
        <v>0</v>
      </c>
      <c r="AK230" s="224">
        <f t="shared" si="72"/>
        <v>0</v>
      </c>
      <c r="AL230" s="224">
        <f t="shared" si="72"/>
        <v>0</v>
      </c>
      <c r="AM230" s="224">
        <f t="shared" si="72"/>
        <v>0</v>
      </c>
      <c r="AN230" s="224">
        <f t="shared" si="72"/>
        <v>0</v>
      </c>
      <c r="AO230" s="224">
        <f t="shared" si="72"/>
        <v>0</v>
      </c>
      <c r="AP230" s="224">
        <f t="shared" si="72"/>
        <v>0</v>
      </c>
      <c r="AQ230" s="224">
        <f t="shared" si="72"/>
        <v>0</v>
      </c>
      <c r="AR230" s="224">
        <f t="shared" si="72"/>
        <v>0</v>
      </c>
      <c r="AS230" s="224">
        <f t="shared" si="72"/>
        <v>0</v>
      </c>
    </row>
    <row r="231" spans="1:45" hidden="1" outlineLevel="2">
      <c r="B231" s="9" t="str">
        <f>'Input - Option 2 Detailed Input'!$C$158</f>
        <v>Establishment checks (including collection, collation, interpretation and sharing of consistent tree establishment data )</v>
      </c>
      <c r="C231" s="44">
        <f>'Input - Option 2 Detailed Input'!H263</f>
        <v>0</v>
      </c>
      <c r="H231" s="343">
        <f t="shared" si="71"/>
        <v>0</v>
      </c>
      <c r="I231" s="211"/>
      <c r="J231" s="224">
        <f t="shared" ref="J231:Y239" si="73">-IF((J$3=$D$229),($C231)*J$4,)</f>
        <v>0</v>
      </c>
      <c r="K231" s="224">
        <f t="shared" si="73"/>
        <v>0</v>
      </c>
      <c r="L231" s="224">
        <f t="shared" si="73"/>
        <v>0</v>
      </c>
      <c r="M231" s="224">
        <f t="shared" si="73"/>
        <v>0</v>
      </c>
      <c r="N231" s="224">
        <f t="shared" si="73"/>
        <v>0</v>
      </c>
      <c r="O231" s="224">
        <f t="shared" si="73"/>
        <v>0</v>
      </c>
      <c r="P231" s="224">
        <f t="shared" si="73"/>
        <v>0</v>
      </c>
      <c r="Q231" s="224">
        <f t="shared" si="73"/>
        <v>0</v>
      </c>
      <c r="R231" s="224">
        <f t="shared" si="73"/>
        <v>0</v>
      </c>
      <c r="S231" s="224">
        <f t="shared" si="73"/>
        <v>0</v>
      </c>
      <c r="T231" s="224">
        <f t="shared" si="73"/>
        <v>0</v>
      </c>
      <c r="U231" s="224">
        <f t="shared" si="73"/>
        <v>0</v>
      </c>
      <c r="V231" s="224">
        <f t="shared" si="73"/>
        <v>0</v>
      </c>
      <c r="W231" s="224">
        <f t="shared" si="73"/>
        <v>0</v>
      </c>
      <c r="X231" s="224">
        <f t="shared" si="73"/>
        <v>0</v>
      </c>
      <c r="Y231" s="224">
        <f t="shared" si="73"/>
        <v>0</v>
      </c>
      <c r="Z231" s="224">
        <f t="shared" si="72"/>
        <v>0</v>
      </c>
      <c r="AA231" s="224">
        <f t="shared" si="72"/>
        <v>0</v>
      </c>
      <c r="AB231" s="224">
        <f t="shared" si="72"/>
        <v>0</v>
      </c>
      <c r="AC231" s="224">
        <f t="shared" si="72"/>
        <v>0</v>
      </c>
      <c r="AD231" s="224">
        <f t="shared" si="72"/>
        <v>0</v>
      </c>
      <c r="AE231" s="224">
        <f t="shared" si="72"/>
        <v>0</v>
      </c>
      <c r="AF231" s="224">
        <f t="shared" si="72"/>
        <v>0</v>
      </c>
      <c r="AG231" s="224">
        <f t="shared" si="72"/>
        <v>0</v>
      </c>
      <c r="AH231" s="224">
        <f t="shared" si="72"/>
        <v>0</v>
      </c>
      <c r="AI231" s="224">
        <f t="shared" si="72"/>
        <v>0</v>
      </c>
      <c r="AJ231" s="224">
        <f t="shared" si="72"/>
        <v>0</v>
      </c>
      <c r="AK231" s="224">
        <f t="shared" si="72"/>
        <v>0</v>
      </c>
      <c r="AL231" s="224">
        <f t="shared" si="72"/>
        <v>0</v>
      </c>
      <c r="AM231" s="224">
        <f t="shared" si="72"/>
        <v>0</v>
      </c>
      <c r="AN231" s="224">
        <f t="shared" si="72"/>
        <v>0</v>
      </c>
      <c r="AO231" s="224">
        <f t="shared" si="72"/>
        <v>0</v>
      </c>
      <c r="AP231" s="224">
        <f t="shared" si="72"/>
        <v>0</v>
      </c>
      <c r="AQ231" s="224">
        <f t="shared" si="72"/>
        <v>0</v>
      </c>
      <c r="AR231" s="224">
        <f t="shared" si="72"/>
        <v>0</v>
      </c>
      <c r="AS231" s="224">
        <f t="shared" si="72"/>
        <v>0</v>
      </c>
    </row>
    <row r="232" spans="1:45" hidden="1" outlineLevel="2">
      <c r="B232" s="9" t="str">
        <f>'Input - Option 2 Detailed Input'!$C$159</f>
        <v>Maintenance, removal and/or disposal of (where relevant) stakes, ties, and guard, grills, concrete rings, base surrounds, tree protection, etc.</v>
      </c>
      <c r="C232" s="44">
        <f>'Input - Option 2 Detailed Input'!H264</f>
        <v>0</v>
      </c>
      <c r="H232" s="343">
        <f t="shared" si="71"/>
        <v>0</v>
      </c>
      <c r="I232" s="211"/>
      <c r="J232" s="224">
        <f t="shared" si="73"/>
        <v>0</v>
      </c>
      <c r="K232" s="224">
        <f t="shared" si="72"/>
        <v>0</v>
      </c>
      <c r="L232" s="224">
        <f t="shared" si="72"/>
        <v>0</v>
      </c>
      <c r="M232" s="224">
        <f t="shared" si="72"/>
        <v>0</v>
      </c>
      <c r="N232" s="224">
        <f t="shared" si="72"/>
        <v>0</v>
      </c>
      <c r="O232" s="224">
        <f t="shared" si="72"/>
        <v>0</v>
      </c>
      <c r="P232" s="224">
        <f t="shared" si="72"/>
        <v>0</v>
      </c>
      <c r="Q232" s="224">
        <f t="shared" si="72"/>
        <v>0</v>
      </c>
      <c r="R232" s="224">
        <f t="shared" si="72"/>
        <v>0</v>
      </c>
      <c r="S232" s="224">
        <f t="shared" si="72"/>
        <v>0</v>
      </c>
      <c r="T232" s="224">
        <f t="shared" si="72"/>
        <v>0</v>
      </c>
      <c r="U232" s="224">
        <f t="shared" si="72"/>
        <v>0</v>
      </c>
      <c r="V232" s="224">
        <f t="shared" si="72"/>
        <v>0</v>
      </c>
      <c r="W232" s="224">
        <f t="shared" si="72"/>
        <v>0</v>
      </c>
      <c r="X232" s="224">
        <f t="shared" si="72"/>
        <v>0</v>
      </c>
      <c r="Y232" s="224">
        <f t="shared" si="72"/>
        <v>0</v>
      </c>
      <c r="Z232" s="224">
        <f t="shared" si="72"/>
        <v>0</v>
      </c>
      <c r="AA232" s="224">
        <f t="shared" si="72"/>
        <v>0</v>
      </c>
      <c r="AB232" s="224">
        <f t="shared" si="72"/>
        <v>0</v>
      </c>
      <c r="AC232" s="224">
        <f t="shared" si="72"/>
        <v>0</v>
      </c>
      <c r="AD232" s="224">
        <f t="shared" si="72"/>
        <v>0</v>
      </c>
      <c r="AE232" s="224">
        <f t="shared" si="72"/>
        <v>0</v>
      </c>
      <c r="AF232" s="224">
        <f t="shared" si="72"/>
        <v>0</v>
      </c>
      <c r="AG232" s="224">
        <f t="shared" si="72"/>
        <v>0</v>
      </c>
      <c r="AH232" s="224">
        <f t="shared" si="72"/>
        <v>0</v>
      </c>
      <c r="AI232" s="224">
        <f t="shared" si="72"/>
        <v>0</v>
      </c>
      <c r="AJ232" s="224">
        <f t="shared" si="72"/>
        <v>0</v>
      </c>
      <c r="AK232" s="224">
        <f t="shared" si="72"/>
        <v>0</v>
      </c>
      <c r="AL232" s="224">
        <f t="shared" si="72"/>
        <v>0</v>
      </c>
      <c r="AM232" s="224">
        <f t="shared" si="72"/>
        <v>0</v>
      </c>
      <c r="AN232" s="224">
        <f t="shared" si="72"/>
        <v>0</v>
      </c>
      <c r="AO232" s="224">
        <f t="shared" si="72"/>
        <v>0</v>
      </c>
      <c r="AP232" s="224">
        <f t="shared" si="72"/>
        <v>0</v>
      </c>
      <c r="AQ232" s="224">
        <f t="shared" si="72"/>
        <v>0</v>
      </c>
      <c r="AR232" s="224">
        <f t="shared" si="72"/>
        <v>0</v>
      </c>
      <c r="AS232" s="224">
        <f t="shared" si="72"/>
        <v>0</v>
      </c>
    </row>
    <row r="233" spans="1:45" hidden="1" outlineLevel="2">
      <c r="B233" s="9" t="str">
        <f>'Input - Option 2 Detailed Input'!$C$160</f>
        <v xml:space="preserve">Safety inspection cost </v>
      </c>
      <c r="C233" s="44">
        <f>'Input - Option 2 Detailed Input'!H265</f>
        <v>0</v>
      </c>
      <c r="H233" s="343">
        <f t="shared" si="71"/>
        <v>0</v>
      </c>
      <c r="I233" s="211"/>
      <c r="J233" s="224">
        <f t="shared" si="73"/>
        <v>0</v>
      </c>
      <c r="K233" s="224">
        <f t="shared" si="72"/>
        <v>0</v>
      </c>
      <c r="L233" s="224">
        <f t="shared" si="72"/>
        <v>0</v>
      </c>
      <c r="M233" s="224">
        <f t="shared" si="72"/>
        <v>0</v>
      </c>
      <c r="N233" s="224">
        <f t="shared" si="72"/>
        <v>0</v>
      </c>
      <c r="O233" s="224">
        <f t="shared" si="72"/>
        <v>0</v>
      </c>
      <c r="P233" s="224">
        <f t="shared" si="72"/>
        <v>0</v>
      </c>
      <c r="Q233" s="224">
        <f t="shared" si="72"/>
        <v>0</v>
      </c>
      <c r="R233" s="224">
        <f t="shared" si="72"/>
        <v>0</v>
      </c>
      <c r="S233" s="224">
        <f t="shared" si="72"/>
        <v>0</v>
      </c>
      <c r="T233" s="224">
        <f t="shared" si="72"/>
        <v>0</v>
      </c>
      <c r="U233" s="224">
        <f t="shared" si="72"/>
        <v>0</v>
      </c>
      <c r="V233" s="224">
        <f t="shared" si="72"/>
        <v>0</v>
      </c>
      <c r="W233" s="224">
        <f t="shared" si="72"/>
        <v>0</v>
      </c>
      <c r="X233" s="224">
        <f t="shared" si="72"/>
        <v>0</v>
      </c>
      <c r="Y233" s="224">
        <f t="shared" si="72"/>
        <v>0</v>
      </c>
      <c r="Z233" s="224">
        <f t="shared" si="72"/>
        <v>0</v>
      </c>
      <c r="AA233" s="224">
        <f t="shared" si="72"/>
        <v>0</v>
      </c>
      <c r="AB233" s="224">
        <f t="shared" si="72"/>
        <v>0</v>
      </c>
      <c r="AC233" s="224">
        <f t="shared" si="72"/>
        <v>0</v>
      </c>
      <c r="AD233" s="224">
        <f t="shared" si="72"/>
        <v>0</v>
      </c>
      <c r="AE233" s="224">
        <f t="shared" si="72"/>
        <v>0</v>
      </c>
      <c r="AF233" s="224">
        <f t="shared" si="72"/>
        <v>0</v>
      </c>
      <c r="AG233" s="224">
        <f t="shared" si="72"/>
        <v>0</v>
      </c>
      <c r="AH233" s="224">
        <f t="shared" si="72"/>
        <v>0</v>
      </c>
      <c r="AI233" s="224">
        <f t="shared" si="72"/>
        <v>0</v>
      </c>
      <c r="AJ233" s="224">
        <f t="shared" si="72"/>
        <v>0</v>
      </c>
      <c r="AK233" s="224">
        <f t="shared" si="72"/>
        <v>0</v>
      </c>
      <c r="AL233" s="224">
        <f t="shared" si="72"/>
        <v>0</v>
      </c>
      <c r="AM233" s="224">
        <f t="shared" si="72"/>
        <v>0</v>
      </c>
      <c r="AN233" s="224">
        <f t="shared" si="72"/>
        <v>0</v>
      </c>
      <c r="AO233" s="224">
        <f t="shared" si="72"/>
        <v>0</v>
      </c>
      <c r="AP233" s="224">
        <f t="shared" si="72"/>
        <v>0</v>
      </c>
      <c r="AQ233" s="224">
        <f t="shared" si="72"/>
        <v>0</v>
      </c>
      <c r="AR233" s="224">
        <f t="shared" si="72"/>
        <v>0</v>
      </c>
      <c r="AS233" s="224">
        <f t="shared" si="72"/>
        <v>0</v>
      </c>
    </row>
    <row r="234" spans="1:45" hidden="1" outlineLevel="2">
      <c r="B234" s="9" t="str">
        <f>'Input - Option 2 Detailed Input'!$C$161</f>
        <v xml:space="preserve">Crown lifting </v>
      </c>
      <c r="C234" s="44">
        <f>'Input - Option 2 Detailed Input'!H266</f>
        <v>0</v>
      </c>
      <c r="H234" s="343">
        <f t="shared" si="71"/>
        <v>0</v>
      </c>
      <c r="I234" s="211"/>
      <c r="J234" s="224">
        <f t="shared" si="73"/>
        <v>0</v>
      </c>
      <c r="K234" s="224">
        <f t="shared" si="72"/>
        <v>0</v>
      </c>
      <c r="L234" s="224">
        <f t="shared" si="72"/>
        <v>0</v>
      </c>
      <c r="M234" s="224">
        <f t="shared" si="72"/>
        <v>0</v>
      </c>
      <c r="N234" s="224">
        <f t="shared" si="72"/>
        <v>0</v>
      </c>
      <c r="O234" s="224">
        <f t="shared" si="72"/>
        <v>0</v>
      </c>
      <c r="P234" s="224">
        <f t="shared" si="72"/>
        <v>0</v>
      </c>
      <c r="Q234" s="224">
        <f t="shared" si="72"/>
        <v>0</v>
      </c>
      <c r="R234" s="224">
        <f t="shared" si="72"/>
        <v>0</v>
      </c>
      <c r="S234" s="224">
        <f t="shared" si="72"/>
        <v>0</v>
      </c>
      <c r="T234" s="224">
        <f t="shared" si="72"/>
        <v>0</v>
      </c>
      <c r="U234" s="224">
        <f t="shared" si="72"/>
        <v>0</v>
      </c>
      <c r="V234" s="224">
        <f t="shared" si="72"/>
        <v>0</v>
      </c>
      <c r="W234" s="224">
        <f t="shared" si="72"/>
        <v>0</v>
      </c>
      <c r="X234" s="224">
        <f t="shared" si="72"/>
        <v>0</v>
      </c>
      <c r="Y234" s="224">
        <f t="shared" si="72"/>
        <v>0</v>
      </c>
      <c r="Z234" s="224">
        <f t="shared" si="72"/>
        <v>0</v>
      </c>
      <c r="AA234" s="224">
        <f t="shared" si="72"/>
        <v>0</v>
      </c>
      <c r="AB234" s="224">
        <f t="shared" si="72"/>
        <v>0</v>
      </c>
      <c r="AC234" s="224">
        <f t="shared" si="72"/>
        <v>0</v>
      </c>
      <c r="AD234" s="224">
        <f t="shared" si="72"/>
        <v>0</v>
      </c>
      <c r="AE234" s="224">
        <f t="shared" si="72"/>
        <v>0</v>
      </c>
      <c r="AF234" s="224">
        <f t="shared" si="72"/>
        <v>0</v>
      </c>
      <c r="AG234" s="224">
        <f t="shared" si="72"/>
        <v>0</v>
      </c>
      <c r="AH234" s="224">
        <f t="shared" si="72"/>
        <v>0</v>
      </c>
      <c r="AI234" s="224">
        <f t="shared" si="72"/>
        <v>0</v>
      </c>
      <c r="AJ234" s="224">
        <f t="shared" si="72"/>
        <v>0</v>
      </c>
      <c r="AK234" s="224">
        <f t="shared" si="72"/>
        <v>0</v>
      </c>
      <c r="AL234" s="224">
        <f t="shared" si="72"/>
        <v>0</v>
      </c>
      <c r="AM234" s="224">
        <f t="shared" si="72"/>
        <v>0</v>
      </c>
      <c r="AN234" s="224">
        <f t="shared" si="72"/>
        <v>0</v>
      </c>
      <c r="AO234" s="224">
        <f t="shared" si="72"/>
        <v>0</v>
      </c>
      <c r="AP234" s="224">
        <f t="shared" si="72"/>
        <v>0</v>
      </c>
      <c r="AQ234" s="224">
        <f t="shared" si="72"/>
        <v>0</v>
      </c>
      <c r="AR234" s="224">
        <f t="shared" si="72"/>
        <v>0</v>
      </c>
      <c r="AS234" s="224">
        <f t="shared" si="72"/>
        <v>0</v>
      </c>
    </row>
    <row r="235" spans="1:45" hidden="1" outlineLevel="2">
      <c r="B235" s="9" t="str">
        <f>'Input - Option 2 Detailed Input'!$C$162</f>
        <v>Deadwood cleanout</v>
      </c>
      <c r="C235" s="44">
        <f>'Input - Option 2 Detailed Input'!H267</f>
        <v>0</v>
      </c>
      <c r="H235" s="343">
        <f t="shared" si="71"/>
        <v>0</v>
      </c>
      <c r="I235" s="211"/>
      <c r="J235" s="224">
        <f t="shared" si="73"/>
        <v>0</v>
      </c>
      <c r="K235" s="224">
        <f t="shared" si="72"/>
        <v>0</v>
      </c>
      <c r="L235" s="224">
        <f t="shared" si="72"/>
        <v>0</v>
      </c>
      <c r="M235" s="224">
        <f t="shared" si="72"/>
        <v>0</v>
      </c>
      <c r="N235" s="224">
        <f t="shared" si="72"/>
        <v>0</v>
      </c>
      <c r="O235" s="224">
        <f t="shared" si="72"/>
        <v>0</v>
      </c>
      <c r="P235" s="224">
        <f t="shared" si="72"/>
        <v>0</v>
      </c>
      <c r="Q235" s="224">
        <f t="shared" si="72"/>
        <v>0</v>
      </c>
      <c r="R235" s="224">
        <f t="shared" si="72"/>
        <v>0</v>
      </c>
      <c r="S235" s="224">
        <f t="shared" si="72"/>
        <v>0</v>
      </c>
      <c r="T235" s="224">
        <f t="shared" si="72"/>
        <v>0</v>
      </c>
      <c r="U235" s="224">
        <f t="shared" si="72"/>
        <v>0</v>
      </c>
      <c r="V235" s="224">
        <f t="shared" si="72"/>
        <v>0</v>
      </c>
      <c r="W235" s="224">
        <f t="shared" si="72"/>
        <v>0</v>
      </c>
      <c r="X235" s="224">
        <f t="shared" si="72"/>
        <v>0</v>
      </c>
      <c r="Y235" s="224">
        <f t="shared" si="72"/>
        <v>0</v>
      </c>
      <c r="Z235" s="224">
        <f t="shared" si="72"/>
        <v>0</v>
      </c>
      <c r="AA235" s="224">
        <f t="shared" si="72"/>
        <v>0</v>
      </c>
      <c r="AB235" s="224">
        <f t="shared" si="72"/>
        <v>0</v>
      </c>
      <c r="AC235" s="224">
        <f t="shared" si="72"/>
        <v>0</v>
      </c>
      <c r="AD235" s="224">
        <f t="shared" si="72"/>
        <v>0</v>
      </c>
      <c r="AE235" s="224">
        <f t="shared" si="72"/>
        <v>0</v>
      </c>
      <c r="AF235" s="224">
        <f t="shared" si="72"/>
        <v>0</v>
      </c>
      <c r="AG235" s="224">
        <f t="shared" si="72"/>
        <v>0</v>
      </c>
      <c r="AH235" s="224">
        <f t="shared" si="72"/>
        <v>0</v>
      </c>
      <c r="AI235" s="224">
        <f t="shared" si="72"/>
        <v>0</v>
      </c>
      <c r="AJ235" s="224">
        <f t="shared" si="72"/>
        <v>0</v>
      </c>
      <c r="AK235" s="224">
        <f t="shared" si="72"/>
        <v>0</v>
      </c>
      <c r="AL235" s="224">
        <f t="shared" si="72"/>
        <v>0</v>
      </c>
      <c r="AM235" s="224">
        <f t="shared" si="72"/>
        <v>0</v>
      </c>
      <c r="AN235" s="224">
        <f t="shared" si="72"/>
        <v>0</v>
      </c>
      <c r="AO235" s="224">
        <f t="shared" si="72"/>
        <v>0</v>
      </c>
      <c r="AP235" s="224">
        <f t="shared" si="72"/>
        <v>0</v>
      </c>
      <c r="AQ235" s="224">
        <f t="shared" si="72"/>
        <v>0</v>
      </c>
      <c r="AR235" s="224">
        <f t="shared" si="72"/>
        <v>0</v>
      </c>
      <c r="AS235" s="224">
        <f t="shared" si="72"/>
        <v>0</v>
      </c>
    </row>
    <row r="236" spans="1:45" hidden="1" outlineLevel="2">
      <c r="B236" s="9" t="str">
        <f>'Input - Option 2 Detailed Input'!$C$163</f>
        <v>Additional costs related for specialist pruning regimes</v>
      </c>
      <c r="C236" s="44">
        <f>'Input - Option 2 Detailed Input'!H268</f>
        <v>0</v>
      </c>
      <c r="H236" s="343">
        <f t="shared" si="71"/>
        <v>0</v>
      </c>
      <c r="I236" s="211"/>
      <c r="J236" s="224">
        <f t="shared" si="73"/>
        <v>0</v>
      </c>
      <c r="K236" s="224">
        <f t="shared" si="72"/>
        <v>0</v>
      </c>
      <c r="L236" s="224">
        <f t="shared" si="72"/>
        <v>0</v>
      </c>
      <c r="M236" s="224">
        <f t="shared" si="72"/>
        <v>0</v>
      </c>
      <c r="N236" s="224">
        <f t="shared" si="72"/>
        <v>0</v>
      </c>
      <c r="O236" s="224">
        <f t="shared" si="72"/>
        <v>0</v>
      </c>
      <c r="P236" s="224">
        <f t="shared" si="72"/>
        <v>0</v>
      </c>
      <c r="Q236" s="224">
        <f t="shared" si="72"/>
        <v>0</v>
      </c>
      <c r="R236" s="224">
        <f t="shared" si="72"/>
        <v>0</v>
      </c>
      <c r="S236" s="224">
        <f t="shared" si="72"/>
        <v>0</v>
      </c>
      <c r="T236" s="224">
        <f t="shared" si="72"/>
        <v>0</v>
      </c>
      <c r="U236" s="224">
        <f t="shared" si="72"/>
        <v>0</v>
      </c>
      <c r="V236" s="224">
        <f t="shared" si="72"/>
        <v>0</v>
      </c>
      <c r="W236" s="224">
        <f t="shared" si="72"/>
        <v>0</v>
      </c>
      <c r="X236" s="224">
        <f t="shared" si="72"/>
        <v>0</v>
      </c>
      <c r="Y236" s="224">
        <f t="shared" si="72"/>
        <v>0</v>
      </c>
      <c r="Z236" s="224">
        <f t="shared" si="72"/>
        <v>0</v>
      </c>
      <c r="AA236" s="224">
        <f t="shared" si="72"/>
        <v>0</v>
      </c>
      <c r="AB236" s="224">
        <f t="shared" si="72"/>
        <v>0</v>
      </c>
      <c r="AC236" s="224">
        <f t="shared" si="72"/>
        <v>0</v>
      </c>
      <c r="AD236" s="224">
        <f t="shared" si="72"/>
        <v>0</v>
      </c>
      <c r="AE236" s="224">
        <f t="shared" si="72"/>
        <v>0</v>
      </c>
      <c r="AF236" s="224">
        <f t="shared" si="72"/>
        <v>0</v>
      </c>
      <c r="AG236" s="224">
        <f t="shared" si="72"/>
        <v>0</v>
      </c>
      <c r="AH236" s="224">
        <f t="shared" si="72"/>
        <v>0</v>
      </c>
      <c r="AI236" s="224">
        <f t="shared" si="72"/>
        <v>0</v>
      </c>
      <c r="AJ236" s="224">
        <f t="shared" si="72"/>
        <v>0</v>
      </c>
      <c r="AK236" s="224">
        <f t="shared" si="72"/>
        <v>0</v>
      </c>
      <c r="AL236" s="224">
        <f t="shared" si="72"/>
        <v>0</v>
      </c>
      <c r="AM236" s="224">
        <f t="shared" si="72"/>
        <v>0</v>
      </c>
      <c r="AN236" s="224">
        <f t="shared" si="72"/>
        <v>0</v>
      </c>
      <c r="AO236" s="224">
        <f t="shared" si="72"/>
        <v>0</v>
      </c>
      <c r="AP236" s="224">
        <f t="shared" si="72"/>
        <v>0</v>
      </c>
      <c r="AQ236" s="224">
        <f t="shared" si="72"/>
        <v>0</v>
      </c>
      <c r="AR236" s="224">
        <f t="shared" si="72"/>
        <v>0</v>
      </c>
      <c r="AS236" s="224">
        <f t="shared" si="72"/>
        <v>0</v>
      </c>
    </row>
    <row r="237" spans="1:45" hidden="1" outlineLevel="2">
      <c r="B237" s="9" t="str">
        <f>'Input - Option 2 Detailed Input'!$C$164</f>
        <v>Weeding</v>
      </c>
      <c r="C237" s="44">
        <f>'Input - Option 2 Detailed Input'!H269</f>
        <v>0</v>
      </c>
      <c r="H237" s="343">
        <f t="shared" si="71"/>
        <v>0</v>
      </c>
      <c r="I237" s="211"/>
      <c r="J237" s="224">
        <f t="shared" si="73"/>
        <v>0</v>
      </c>
      <c r="K237" s="224">
        <f t="shared" si="72"/>
        <v>0</v>
      </c>
      <c r="L237" s="224">
        <f t="shared" si="72"/>
        <v>0</v>
      </c>
      <c r="M237" s="224">
        <f t="shared" si="72"/>
        <v>0</v>
      </c>
      <c r="N237" s="224">
        <f t="shared" si="72"/>
        <v>0</v>
      </c>
      <c r="O237" s="224">
        <f t="shared" si="72"/>
        <v>0</v>
      </c>
      <c r="P237" s="224">
        <f t="shared" si="72"/>
        <v>0</v>
      </c>
      <c r="Q237" s="224">
        <f t="shared" si="72"/>
        <v>0</v>
      </c>
      <c r="R237" s="224">
        <f t="shared" si="72"/>
        <v>0</v>
      </c>
      <c r="S237" s="224">
        <f t="shared" si="72"/>
        <v>0</v>
      </c>
      <c r="T237" s="224">
        <f t="shared" si="72"/>
        <v>0</v>
      </c>
      <c r="U237" s="224">
        <f t="shared" si="72"/>
        <v>0</v>
      </c>
      <c r="V237" s="224">
        <f t="shared" si="72"/>
        <v>0</v>
      </c>
      <c r="W237" s="224">
        <f t="shared" si="72"/>
        <v>0</v>
      </c>
      <c r="X237" s="224">
        <f t="shared" si="72"/>
        <v>0</v>
      </c>
      <c r="Y237" s="224">
        <f t="shared" si="72"/>
        <v>0</v>
      </c>
      <c r="Z237" s="224">
        <f t="shared" si="72"/>
        <v>0</v>
      </c>
      <c r="AA237" s="224">
        <f t="shared" si="72"/>
        <v>0</v>
      </c>
      <c r="AB237" s="224">
        <f t="shared" si="72"/>
        <v>0</v>
      </c>
      <c r="AC237" s="224">
        <f t="shared" si="72"/>
        <v>0</v>
      </c>
      <c r="AD237" s="224">
        <f t="shared" si="72"/>
        <v>0</v>
      </c>
      <c r="AE237" s="224">
        <f t="shared" si="72"/>
        <v>0</v>
      </c>
      <c r="AF237" s="224">
        <f t="shared" si="72"/>
        <v>0</v>
      </c>
      <c r="AG237" s="224">
        <f t="shared" si="72"/>
        <v>0</v>
      </c>
      <c r="AH237" s="224">
        <f t="shared" si="72"/>
        <v>0</v>
      </c>
      <c r="AI237" s="224">
        <f t="shared" si="72"/>
        <v>0</v>
      </c>
      <c r="AJ237" s="224">
        <f t="shared" ref="K237:AS239" si="74">-IF((AJ$3=$D$229),($C237)*AJ$4,)</f>
        <v>0</v>
      </c>
      <c r="AK237" s="224">
        <f t="shared" si="74"/>
        <v>0</v>
      </c>
      <c r="AL237" s="224">
        <f t="shared" si="74"/>
        <v>0</v>
      </c>
      <c r="AM237" s="224">
        <f t="shared" si="74"/>
        <v>0</v>
      </c>
      <c r="AN237" s="224">
        <f t="shared" si="74"/>
        <v>0</v>
      </c>
      <c r="AO237" s="224">
        <f t="shared" si="74"/>
        <v>0</v>
      </c>
      <c r="AP237" s="224">
        <f t="shared" si="74"/>
        <v>0</v>
      </c>
      <c r="AQ237" s="224">
        <f t="shared" si="74"/>
        <v>0</v>
      </c>
      <c r="AR237" s="224">
        <f t="shared" si="74"/>
        <v>0</v>
      </c>
      <c r="AS237" s="224">
        <f t="shared" si="74"/>
        <v>0</v>
      </c>
    </row>
    <row r="238" spans="1:45" hidden="1" outlineLevel="2">
      <c r="B238" s="9" t="str">
        <f>'Input - Option 2 Detailed Input'!$C$165</f>
        <v>Epicormic growth removal </v>
      </c>
      <c r="C238" s="44">
        <f>'Input - Option 2 Detailed Input'!H270</f>
        <v>0</v>
      </c>
      <c r="H238" s="343">
        <f t="shared" si="71"/>
        <v>0</v>
      </c>
      <c r="I238" s="211"/>
      <c r="J238" s="224">
        <f t="shared" si="73"/>
        <v>0</v>
      </c>
      <c r="K238" s="224">
        <f t="shared" si="74"/>
        <v>0</v>
      </c>
      <c r="L238" s="224">
        <f t="shared" si="74"/>
        <v>0</v>
      </c>
      <c r="M238" s="224">
        <f t="shared" si="74"/>
        <v>0</v>
      </c>
      <c r="N238" s="224">
        <f t="shared" si="74"/>
        <v>0</v>
      </c>
      <c r="O238" s="224">
        <f t="shared" si="74"/>
        <v>0</v>
      </c>
      <c r="P238" s="224">
        <f t="shared" si="74"/>
        <v>0</v>
      </c>
      <c r="Q238" s="224">
        <f t="shared" si="74"/>
        <v>0</v>
      </c>
      <c r="R238" s="224">
        <f t="shared" si="74"/>
        <v>0</v>
      </c>
      <c r="S238" s="224">
        <f t="shared" si="74"/>
        <v>0</v>
      </c>
      <c r="T238" s="224">
        <f t="shared" si="74"/>
        <v>0</v>
      </c>
      <c r="U238" s="224">
        <f t="shared" si="74"/>
        <v>0</v>
      </c>
      <c r="V238" s="224">
        <f t="shared" si="74"/>
        <v>0</v>
      </c>
      <c r="W238" s="224">
        <f t="shared" si="74"/>
        <v>0</v>
      </c>
      <c r="X238" s="224">
        <f t="shared" si="74"/>
        <v>0</v>
      </c>
      <c r="Y238" s="224">
        <f t="shared" si="74"/>
        <v>0</v>
      </c>
      <c r="Z238" s="224">
        <f t="shared" si="74"/>
        <v>0</v>
      </c>
      <c r="AA238" s="224">
        <f t="shared" si="74"/>
        <v>0</v>
      </c>
      <c r="AB238" s="224">
        <f t="shared" si="74"/>
        <v>0</v>
      </c>
      <c r="AC238" s="224">
        <f t="shared" si="74"/>
        <v>0</v>
      </c>
      <c r="AD238" s="224">
        <f t="shared" si="74"/>
        <v>0</v>
      </c>
      <c r="AE238" s="224">
        <f t="shared" si="74"/>
        <v>0</v>
      </c>
      <c r="AF238" s="224">
        <f t="shared" si="74"/>
        <v>0</v>
      </c>
      <c r="AG238" s="224">
        <f t="shared" si="74"/>
        <v>0</v>
      </c>
      <c r="AH238" s="224">
        <f t="shared" si="74"/>
        <v>0</v>
      </c>
      <c r="AI238" s="224">
        <f t="shared" si="74"/>
        <v>0</v>
      </c>
      <c r="AJ238" s="224">
        <f t="shared" si="74"/>
        <v>0</v>
      </c>
      <c r="AK238" s="224">
        <f t="shared" si="74"/>
        <v>0</v>
      </c>
      <c r="AL238" s="224">
        <f t="shared" si="74"/>
        <v>0</v>
      </c>
      <c r="AM238" s="224">
        <f t="shared" si="74"/>
        <v>0</v>
      </c>
      <c r="AN238" s="224">
        <f t="shared" si="74"/>
        <v>0</v>
      </c>
      <c r="AO238" s="224">
        <f t="shared" si="74"/>
        <v>0</v>
      </c>
      <c r="AP238" s="224">
        <f t="shared" si="74"/>
        <v>0</v>
      </c>
      <c r="AQ238" s="224">
        <f t="shared" si="74"/>
        <v>0</v>
      </c>
      <c r="AR238" s="224">
        <f t="shared" si="74"/>
        <v>0</v>
      </c>
      <c r="AS238" s="224">
        <f t="shared" si="74"/>
        <v>0</v>
      </c>
    </row>
    <row r="239" spans="1:45" hidden="1" outlineLevel="2">
      <c r="B239" s="9" t="str">
        <f>'Input - Option 2 Detailed Input'!$C$166</f>
        <v xml:space="preserve">Costs associated with standpipes </v>
      </c>
      <c r="C239" s="44">
        <f>'Input - Option 2 Detailed Input'!H271</f>
        <v>0</v>
      </c>
      <c r="H239" s="343">
        <f t="shared" si="71"/>
        <v>0</v>
      </c>
      <c r="I239" s="211"/>
      <c r="J239" s="224">
        <f t="shared" si="73"/>
        <v>0</v>
      </c>
      <c r="K239" s="224">
        <f t="shared" si="74"/>
        <v>0</v>
      </c>
      <c r="L239" s="224">
        <f t="shared" si="74"/>
        <v>0</v>
      </c>
      <c r="M239" s="224">
        <f t="shared" si="74"/>
        <v>0</v>
      </c>
      <c r="N239" s="224">
        <f t="shared" si="74"/>
        <v>0</v>
      </c>
      <c r="O239" s="224">
        <f t="shared" si="74"/>
        <v>0</v>
      </c>
      <c r="P239" s="224">
        <f t="shared" si="74"/>
        <v>0</v>
      </c>
      <c r="Q239" s="224">
        <f t="shared" si="74"/>
        <v>0</v>
      </c>
      <c r="R239" s="224">
        <f t="shared" si="74"/>
        <v>0</v>
      </c>
      <c r="S239" s="224">
        <f t="shared" si="74"/>
        <v>0</v>
      </c>
      <c r="T239" s="224">
        <f t="shared" si="74"/>
        <v>0</v>
      </c>
      <c r="U239" s="224">
        <f t="shared" si="74"/>
        <v>0</v>
      </c>
      <c r="V239" s="224">
        <f t="shared" si="74"/>
        <v>0</v>
      </c>
      <c r="W239" s="224">
        <f t="shared" si="74"/>
        <v>0</v>
      </c>
      <c r="X239" s="224">
        <f t="shared" si="74"/>
        <v>0</v>
      </c>
      <c r="Y239" s="224">
        <f t="shared" si="74"/>
        <v>0</v>
      </c>
      <c r="Z239" s="224">
        <f t="shared" si="74"/>
        <v>0</v>
      </c>
      <c r="AA239" s="224">
        <f t="shared" si="74"/>
        <v>0</v>
      </c>
      <c r="AB239" s="224">
        <f t="shared" si="74"/>
        <v>0</v>
      </c>
      <c r="AC239" s="224">
        <f t="shared" si="74"/>
        <v>0</v>
      </c>
      <c r="AD239" s="224">
        <f t="shared" si="74"/>
        <v>0</v>
      </c>
      <c r="AE239" s="224">
        <f t="shared" si="74"/>
        <v>0</v>
      </c>
      <c r="AF239" s="224">
        <f t="shared" si="74"/>
        <v>0</v>
      </c>
      <c r="AG239" s="224">
        <f t="shared" si="74"/>
        <v>0</v>
      </c>
      <c r="AH239" s="224">
        <f t="shared" si="74"/>
        <v>0</v>
      </c>
      <c r="AI239" s="224">
        <f t="shared" si="74"/>
        <v>0</v>
      </c>
      <c r="AJ239" s="224">
        <f t="shared" si="74"/>
        <v>0</v>
      </c>
      <c r="AK239" s="224">
        <f t="shared" si="74"/>
        <v>0</v>
      </c>
      <c r="AL239" s="224">
        <f t="shared" si="74"/>
        <v>0</v>
      </c>
      <c r="AM239" s="224">
        <f t="shared" si="74"/>
        <v>0</v>
      </c>
      <c r="AN239" s="224">
        <f t="shared" si="74"/>
        <v>0</v>
      </c>
      <c r="AO239" s="224">
        <f t="shared" si="74"/>
        <v>0</v>
      </c>
      <c r="AP239" s="224">
        <f t="shared" si="74"/>
        <v>0</v>
      </c>
      <c r="AQ239" s="224">
        <f t="shared" si="74"/>
        <v>0</v>
      </c>
      <c r="AR239" s="224">
        <f t="shared" si="74"/>
        <v>0</v>
      </c>
      <c r="AS239" s="224">
        <f t="shared" si="74"/>
        <v>0</v>
      </c>
    </row>
    <row r="240" spans="1:45" hidden="1" outlineLevel="2">
      <c r="H240" s="343"/>
      <c r="I240" s="213"/>
      <c r="J240" s="224"/>
      <c r="K240" s="224"/>
      <c r="L240" s="224"/>
      <c r="M240" s="224"/>
      <c r="N240" s="224"/>
      <c r="O240" s="224"/>
      <c r="P240" s="224"/>
      <c r="Q240" s="224"/>
      <c r="R240" s="224"/>
      <c r="S240" s="224"/>
      <c r="T240" s="224"/>
      <c r="U240" s="224"/>
      <c r="V240" s="224"/>
      <c r="W240" s="224"/>
      <c r="X240" s="224"/>
      <c r="Y240" s="224"/>
      <c r="Z240" s="224"/>
      <c r="AA240" s="224"/>
      <c r="AB240" s="224"/>
      <c r="AC240" s="224"/>
      <c r="AD240" s="224"/>
      <c r="AE240" s="224"/>
      <c r="AF240" s="224"/>
      <c r="AG240" s="224"/>
      <c r="AH240" s="224"/>
      <c r="AI240" s="224"/>
      <c r="AJ240" s="224"/>
      <c r="AK240" s="224"/>
      <c r="AL240" s="224"/>
      <c r="AM240" s="224"/>
      <c r="AN240" s="224"/>
      <c r="AO240" s="224"/>
      <c r="AP240" s="224"/>
      <c r="AQ240" s="224"/>
      <c r="AR240" s="224"/>
      <c r="AS240" s="224"/>
    </row>
    <row r="241" spans="1:45" hidden="1" outlineLevel="2">
      <c r="B241" s="103" t="str">
        <f>'Input - Option 2 Detailed Input'!C273</f>
        <v>Year 6 - Additional Costs</v>
      </c>
      <c r="C241" s="25" t="str">
        <f>'Input - Option 2 Detailed Input'!G273</f>
        <v>Total Costs (per visit)</v>
      </c>
      <c r="H241" s="343"/>
      <c r="I241" s="213"/>
      <c r="J241" s="224"/>
      <c r="K241" s="224"/>
      <c r="L241" s="224"/>
      <c r="M241" s="224"/>
      <c r="N241" s="224"/>
      <c r="O241" s="224"/>
      <c r="P241" s="224"/>
      <c r="Q241" s="224"/>
      <c r="R241" s="224"/>
      <c r="S241" s="224"/>
      <c r="T241" s="224"/>
      <c r="U241" s="224"/>
      <c r="V241" s="224"/>
      <c r="W241" s="224"/>
      <c r="X241" s="224"/>
      <c r="Y241" s="224"/>
      <c r="Z241" s="224"/>
      <c r="AA241" s="224"/>
      <c r="AB241" s="224"/>
      <c r="AC241" s="224"/>
      <c r="AD241" s="224"/>
      <c r="AE241" s="224"/>
      <c r="AF241" s="224"/>
      <c r="AG241" s="224"/>
      <c r="AH241" s="224"/>
      <c r="AI241" s="224"/>
      <c r="AJ241" s="224"/>
      <c r="AK241" s="224"/>
      <c r="AL241" s="224"/>
      <c r="AM241" s="224"/>
      <c r="AN241" s="224"/>
      <c r="AO241" s="224"/>
      <c r="AP241" s="224"/>
      <c r="AQ241" s="224"/>
      <c r="AR241" s="224"/>
      <c r="AS241" s="224"/>
    </row>
    <row r="242" spans="1:45" hidden="1" outlineLevel="2">
      <c r="B242" s="9" t="str">
        <f>'Input - Option 2 Detailed Input'!C274</f>
        <v xml:space="preserve">[Additional costs #1] </v>
      </c>
      <c r="C242" s="44">
        <f>'Input - Option 2 Detailed Input'!G274</f>
        <v>0</v>
      </c>
      <c r="H242" s="343">
        <f>SUM(J242:EJ242)</f>
        <v>0</v>
      </c>
      <c r="I242" s="211"/>
      <c r="J242" s="224">
        <f>-IF((J$3=$D$229),($C242)*J$4,)</f>
        <v>0</v>
      </c>
      <c r="K242" s="224">
        <f t="shared" ref="K242:AS246" si="75">-IF((K$3=$D$229),($C242)*K$4,)</f>
        <v>0</v>
      </c>
      <c r="L242" s="224">
        <f t="shared" si="75"/>
        <v>0</v>
      </c>
      <c r="M242" s="224">
        <f t="shared" si="75"/>
        <v>0</v>
      </c>
      <c r="N242" s="224">
        <f t="shared" si="75"/>
        <v>0</v>
      </c>
      <c r="O242" s="224">
        <f t="shared" si="75"/>
        <v>0</v>
      </c>
      <c r="P242" s="224">
        <f t="shared" si="75"/>
        <v>0</v>
      </c>
      <c r="Q242" s="224">
        <f t="shared" si="75"/>
        <v>0</v>
      </c>
      <c r="R242" s="224">
        <f t="shared" si="75"/>
        <v>0</v>
      </c>
      <c r="S242" s="224">
        <f t="shared" si="75"/>
        <v>0</v>
      </c>
      <c r="T242" s="224">
        <f t="shared" si="75"/>
        <v>0</v>
      </c>
      <c r="U242" s="224">
        <f t="shared" si="75"/>
        <v>0</v>
      </c>
      <c r="V242" s="224">
        <f t="shared" si="75"/>
        <v>0</v>
      </c>
      <c r="W242" s="224">
        <f t="shared" si="75"/>
        <v>0</v>
      </c>
      <c r="X242" s="224">
        <f t="shared" si="75"/>
        <v>0</v>
      </c>
      <c r="Y242" s="224">
        <f t="shared" si="75"/>
        <v>0</v>
      </c>
      <c r="Z242" s="224">
        <f t="shared" si="75"/>
        <v>0</v>
      </c>
      <c r="AA242" s="224">
        <f t="shared" si="75"/>
        <v>0</v>
      </c>
      <c r="AB242" s="224">
        <f t="shared" si="75"/>
        <v>0</v>
      </c>
      <c r="AC242" s="224">
        <f t="shared" si="75"/>
        <v>0</v>
      </c>
      <c r="AD242" s="224">
        <f t="shared" si="75"/>
        <v>0</v>
      </c>
      <c r="AE242" s="224">
        <f t="shared" si="75"/>
        <v>0</v>
      </c>
      <c r="AF242" s="224">
        <f t="shared" si="75"/>
        <v>0</v>
      </c>
      <c r="AG242" s="224">
        <f t="shared" si="75"/>
        <v>0</v>
      </c>
      <c r="AH242" s="224">
        <f t="shared" si="75"/>
        <v>0</v>
      </c>
      <c r="AI242" s="224">
        <f t="shared" si="75"/>
        <v>0</v>
      </c>
      <c r="AJ242" s="224">
        <f t="shared" si="75"/>
        <v>0</v>
      </c>
      <c r="AK242" s="224">
        <f t="shared" si="75"/>
        <v>0</v>
      </c>
      <c r="AL242" s="224">
        <f t="shared" si="75"/>
        <v>0</v>
      </c>
      <c r="AM242" s="224">
        <f t="shared" si="75"/>
        <v>0</v>
      </c>
      <c r="AN242" s="224">
        <f t="shared" si="75"/>
        <v>0</v>
      </c>
      <c r="AO242" s="224">
        <f t="shared" si="75"/>
        <v>0</v>
      </c>
      <c r="AP242" s="224">
        <f t="shared" si="75"/>
        <v>0</v>
      </c>
      <c r="AQ242" s="224">
        <f t="shared" si="75"/>
        <v>0</v>
      </c>
      <c r="AR242" s="224">
        <f t="shared" si="75"/>
        <v>0</v>
      </c>
      <c r="AS242" s="224">
        <f t="shared" si="75"/>
        <v>0</v>
      </c>
    </row>
    <row r="243" spans="1:45" hidden="1" outlineLevel="2">
      <c r="B243" s="9" t="str">
        <f>'Input - Option 2 Detailed Input'!C275</f>
        <v>[Additional costs #2]</v>
      </c>
      <c r="C243" s="44">
        <f>'Input - Option 2 Detailed Input'!G275</f>
        <v>0</v>
      </c>
      <c r="H243" s="343">
        <f>SUM(J243:EJ243)</f>
        <v>0</v>
      </c>
      <c r="I243" s="211"/>
      <c r="J243" s="224">
        <f t="shared" ref="J243:Y246" si="76">-IF((J$3=$D$229),($C243)*J$4,)</f>
        <v>0</v>
      </c>
      <c r="K243" s="224">
        <f t="shared" si="76"/>
        <v>0</v>
      </c>
      <c r="L243" s="224">
        <f t="shared" si="76"/>
        <v>0</v>
      </c>
      <c r="M243" s="224">
        <f t="shared" si="76"/>
        <v>0</v>
      </c>
      <c r="N243" s="224">
        <f t="shared" si="76"/>
        <v>0</v>
      </c>
      <c r="O243" s="224">
        <f t="shared" si="76"/>
        <v>0</v>
      </c>
      <c r="P243" s="224">
        <f t="shared" si="76"/>
        <v>0</v>
      </c>
      <c r="Q243" s="224">
        <f t="shared" si="76"/>
        <v>0</v>
      </c>
      <c r="R243" s="224">
        <f t="shared" si="76"/>
        <v>0</v>
      </c>
      <c r="S243" s="224">
        <f t="shared" si="76"/>
        <v>0</v>
      </c>
      <c r="T243" s="224">
        <f t="shared" si="76"/>
        <v>0</v>
      </c>
      <c r="U243" s="224">
        <f t="shared" si="76"/>
        <v>0</v>
      </c>
      <c r="V243" s="224">
        <f t="shared" si="76"/>
        <v>0</v>
      </c>
      <c r="W243" s="224">
        <f t="shared" si="76"/>
        <v>0</v>
      </c>
      <c r="X243" s="224">
        <f t="shared" si="76"/>
        <v>0</v>
      </c>
      <c r="Y243" s="224">
        <f t="shared" si="76"/>
        <v>0</v>
      </c>
      <c r="Z243" s="224">
        <f t="shared" si="75"/>
        <v>0</v>
      </c>
      <c r="AA243" s="224">
        <f t="shared" si="75"/>
        <v>0</v>
      </c>
      <c r="AB243" s="224">
        <f t="shared" si="75"/>
        <v>0</v>
      </c>
      <c r="AC243" s="224">
        <f t="shared" si="75"/>
        <v>0</v>
      </c>
      <c r="AD243" s="224">
        <f t="shared" si="75"/>
        <v>0</v>
      </c>
      <c r="AE243" s="224">
        <f t="shared" si="75"/>
        <v>0</v>
      </c>
      <c r="AF243" s="224">
        <f t="shared" si="75"/>
        <v>0</v>
      </c>
      <c r="AG243" s="224">
        <f t="shared" si="75"/>
        <v>0</v>
      </c>
      <c r="AH243" s="224">
        <f t="shared" si="75"/>
        <v>0</v>
      </c>
      <c r="AI243" s="224">
        <f t="shared" si="75"/>
        <v>0</v>
      </c>
      <c r="AJ243" s="224">
        <f t="shared" si="75"/>
        <v>0</v>
      </c>
      <c r="AK243" s="224">
        <f t="shared" si="75"/>
        <v>0</v>
      </c>
      <c r="AL243" s="224">
        <f t="shared" si="75"/>
        <v>0</v>
      </c>
      <c r="AM243" s="224">
        <f t="shared" si="75"/>
        <v>0</v>
      </c>
      <c r="AN243" s="224">
        <f t="shared" si="75"/>
        <v>0</v>
      </c>
      <c r="AO243" s="224">
        <f t="shared" si="75"/>
        <v>0</v>
      </c>
      <c r="AP243" s="224">
        <f t="shared" si="75"/>
        <v>0</v>
      </c>
      <c r="AQ243" s="224">
        <f t="shared" si="75"/>
        <v>0</v>
      </c>
      <c r="AR243" s="224">
        <f t="shared" si="75"/>
        <v>0</v>
      </c>
      <c r="AS243" s="224">
        <f t="shared" si="75"/>
        <v>0</v>
      </c>
    </row>
    <row r="244" spans="1:45" hidden="1" outlineLevel="2">
      <c r="B244" s="9" t="str">
        <f>'Input - Option 2 Detailed Input'!C276</f>
        <v xml:space="preserve">[Additional costs #3] </v>
      </c>
      <c r="C244" s="44">
        <f>'Input - Option 2 Detailed Input'!G276</f>
        <v>0</v>
      </c>
      <c r="H244" s="343">
        <f>SUM(J244:EJ244)</f>
        <v>0</v>
      </c>
      <c r="I244" s="211"/>
      <c r="J244" s="224">
        <f t="shared" si="76"/>
        <v>0</v>
      </c>
      <c r="K244" s="224">
        <f t="shared" si="75"/>
        <v>0</v>
      </c>
      <c r="L244" s="224">
        <f t="shared" si="75"/>
        <v>0</v>
      </c>
      <c r="M244" s="224">
        <f t="shared" si="75"/>
        <v>0</v>
      </c>
      <c r="N244" s="224">
        <f t="shared" si="75"/>
        <v>0</v>
      </c>
      <c r="O244" s="224">
        <f t="shared" si="75"/>
        <v>0</v>
      </c>
      <c r="P244" s="224">
        <f t="shared" si="75"/>
        <v>0</v>
      </c>
      <c r="Q244" s="224">
        <f t="shared" si="75"/>
        <v>0</v>
      </c>
      <c r="R244" s="224">
        <f t="shared" si="75"/>
        <v>0</v>
      </c>
      <c r="S244" s="224">
        <f t="shared" si="75"/>
        <v>0</v>
      </c>
      <c r="T244" s="224">
        <f t="shared" si="75"/>
        <v>0</v>
      </c>
      <c r="U244" s="224">
        <f t="shared" si="75"/>
        <v>0</v>
      </c>
      <c r="V244" s="224">
        <f t="shared" si="75"/>
        <v>0</v>
      </c>
      <c r="W244" s="224">
        <f t="shared" si="75"/>
        <v>0</v>
      </c>
      <c r="X244" s="224">
        <f t="shared" si="75"/>
        <v>0</v>
      </c>
      <c r="Y244" s="224">
        <f t="shared" si="75"/>
        <v>0</v>
      </c>
      <c r="Z244" s="224">
        <f t="shared" si="75"/>
        <v>0</v>
      </c>
      <c r="AA244" s="224">
        <f t="shared" si="75"/>
        <v>0</v>
      </c>
      <c r="AB244" s="224">
        <f t="shared" si="75"/>
        <v>0</v>
      </c>
      <c r="AC244" s="224">
        <f t="shared" si="75"/>
        <v>0</v>
      </c>
      <c r="AD244" s="224">
        <f t="shared" si="75"/>
        <v>0</v>
      </c>
      <c r="AE244" s="224">
        <f t="shared" si="75"/>
        <v>0</v>
      </c>
      <c r="AF244" s="224">
        <f t="shared" si="75"/>
        <v>0</v>
      </c>
      <c r="AG244" s="224">
        <f t="shared" si="75"/>
        <v>0</v>
      </c>
      <c r="AH244" s="224">
        <f t="shared" si="75"/>
        <v>0</v>
      </c>
      <c r="AI244" s="224">
        <f t="shared" si="75"/>
        <v>0</v>
      </c>
      <c r="AJ244" s="224">
        <f t="shared" si="75"/>
        <v>0</v>
      </c>
      <c r="AK244" s="224">
        <f t="shared" si="75"/>
        <v>0</v>
      </c>
      <c r="AL244" s="224">
        <f t="shared" si="75"/>
        <v>0</v>
      </c>
      <c r="AM244" s="224">
        <f t="shared" si="75"/>
        <v>0</v>
      </c>
      <c r="AN244" s="224">
        <f t="shared" si="75"/>
        <v>0</v>
      </c>
      <c r="AO244" s="224">
        <f t="shared" si="75"/>
        <v>0</v>
      </c>
      <c r="AP244" s="224">
        <f t="shared" si="75"/>
        <v>0</v>
      </c>
      <c r="AQ244" s="224">
        <f t="shared" si="75"/>
        <v>0</v>
      </c>
      <c r="AR244" s="224">
        <f t="shared" si="75"/>
        <v>0</v>
      </c>
      <c r="AS244" s="224">
        <f t="shared" si="75"/>
        <v>0</v>
      </c>
    </row>
    <row r="245" spans="1:45" hidden="1" outlineLevel="2">
      <c r="B245" s="9" t="str">
        <f>'Input - Option 2 Detailed Input'!C277</f>
        <v>[Additional costs #4]</v>
      </c>
      <c r="C245" s="44">
        <f>'Input - Option 2 Detailed Input'!G277</f>
        <v>0</v>
      </c>
      <c r="H245" s="343">
        <f>SUM(J245:EJ245)</f>
        <v>0</v>
      </c>
      <c r="I245" s="211"/>
      <c r="J245" s="224">
        <f t="shared" si="76"/>
        <v>0</v>
      </c>
      <c r="K245" s="224">
        <f t="shared" si="75"/>
        <v>0</v>
      </c>
      <c r="L245" s="224">
        <f t="shared" si="75"/>
        <v>0</v>
      </c>
      <c r="M245" s="224">
        <f t="shared" si="75"/>
        <v>0</v>
      </c>
      <c r="N245" s="224">
        <f t="shared" si="75"/>
        <v>0</v>
      </c>
      <c r="O245" s="224">
        <f t="shared" si="75"/>
        <v>0</v>
      </c>
      <c r="P245" s="224">
        <f t="shared" si="75"/>
        <v>0</v>
      </c>
      <c r="Q245" s="224">
        <f t="shared" si="75"/>
        <v>0</v>
      </c>
      <c r="R245" s="224">
        <f t="shared" si="75"/>
        <v>0</v>
      </c>
      <c r="S245" s="224">
        <f t="shared" si="75"/>
        <v>0</v>
      </c>
      <c r="T245" s="224">
        <f t="shared" si="75"/>
        <v>0</v>
      </c>
      <c r="U245" s="224">
        <f t="shared" si="75"/>
        <v>0</v>
      </c>
      <c r="V245" s="224">
        <f t="shared" si="75"/>
        <v>0</v>
      </c>
      <c r="W245" s="224">
        <f t="shared" si="75"/>
        <v>0</v>
      </c>
      <c r="X245" s="224">
        <f t="shared" si="75"/>
        <v>0</v>
      </c>
      <c r="Y245" s="224">
        <f t="shared" si="75"/>
        <v>0</v>
      </c>
      <c r="Z245" s="224">
        <f t="shared" si="75"/>
        <v>0</v>
      </c>
      <c r="AA245" s="224">
        <f t="shared" si="75"/>
        <v>0</v>
      </c>
      <c r="AB245" s="224">
        <f t="shared" si="75"/>
        <v>0</v>
      </c>
      <c r="AC245" s="224">
        <f t="shared" si="75"/>
        <v>0</v>
      </c>
      <c r="AD245" s="224">
        <f t="shared" si="75"/>
        <v>0</v>
      </c>
      <c r="AE245" s="224">
        <f t="shared" si="75"/>
        <v>0</v>
      </c>
      <c r="AF245" s="224">
        <f t="shared" si="75"/>
        <v>0</v>
      </c>
      <c r="AG245" s="224">
        <f t="shared" si="75"/>
        <v>0</v>
      </c>
      <c r="AH245" s="224">
        <f t="shared" si="75"/>
        <v>0</v>
      </c>
      <c r="AI245" s="224">
        <f t="shared" si="75"/>
        <v>0</v>
      </c>
      <c r="AJ245" s="224">
        <f t="shared" si="75"/>
        <v>0</v>
      </c>
      <c r="AK245" s="224">
        <f t="shared" si="75"/>
        <v>0</v>
      </c>
      <c r="AL245" s="224">
        <f t="shared" si="75"/>
        <v>0</v>
      </c>
      <c r="AM245" s="224">
        <f t="shared" si="75"/>
        <v>0</v>
      </c>
      <c r="AN245" s="224">
        <f t="shared" si="75"/>
        <v>0</v>
      </c>
      <c r="AO245" s="224">
        <f t="shared" si="75"/>
        <v>0</v>
      </c>
      <c r="AP245" s="224">
        <f t="shared" si="75"/>
        <v>0</v>
      </c>
      <c r="AQ245" s="224">
        <f t="shared" si="75"/>
        <v>0</v>
      </c>
      <c r="AR245" s="224">
        <f t="shared" si="75"/>
        <v>0</v>
      </c>
      <c r="AS245" s="224">
        <f t="shared" si="75"/>
        <v>0</v>
      </c>
    </row>
    <row r="246" spans="1:45" hidden="1" outlineLevel="2">
      <c r="B246" s="9" t="str">
        <f>'Input - Option 2 Detailed Input'!C278</f>
        <v xml:space="preserve">[Additional costs #5] </v>
      </c>
      <c r="C246" s="44">
        <f>'Input - Option 2 Detailed Input'!G278</f>
        <v>0</v>
      </c>
      <c r="H246" s="343">
        <f>SUM(J246:EJ246)</f>
        <v>0</v>
      </c>
      <c r="I246" s="211"/>
      <c r="J246" s="224">
        <f t="shared" si="76"/>
        <v>0</v>
      </c>
      <c r="K246" s="224">
        <f t="shared" si="75"/>
        <v>0</v>
      </c>
      <c r="L246" s="224">
        <f t="shared" si="75"/>
        <v>0</v>
      </c>
      <c r="M246" s="224">
        <f t="shared" si="75"/>
        <v>0</v>
      </c>
      <c r="N246" s="224">
        <f t="shared" si="75"/>
        <v>0</v>
      </c>
      <c r="O246" s="224">
        <f t="shared" si="75"/>
        <v>0</v>
      </c>
      <c r="P246" s="224">
        <f t="shared" si="75"/>
        <v>0</v>
      </c>
      <c r="Q246" s="224">
        <f t="shared" si="75"/>
        <v>0</v>
      </c>
      <c r="R246" s="224">
        <f t="shared" si="75"/>
        <v>0</v>
      </c>
      <c r="S246" s="224">
        <f t="shared" si="75"/>
        <v>0</v>
      </c>
      <c r="T246" s="224">
        <f t="shared" si="75"/>
        <v>0</v>
      </c>
      <c r="U246" s="224">
        <f t="shared" si="75"/>
        <v>0</v>
      </c>
      <c r="V246" s="224">
        <f t="shared" si="75"/>
        <v>0</v>
      </c>
      <c r="W246" s="224">
        <f t="shared" si="75"/>
        <v>0</v>
      </c>
      <c r="X246" s="224">
        <f t="shared" si="75"/>
        <v>0</v>
      </c>
      <c r="Y246" s="224">
        <f t="shared" si="75"/>
        <v>0</v>
      </c>
      <c r="Z246" s="224">
        <f t="shared" si="75"/>
        <v>0</v>
      </c>
      <c r="AA246" s="224">
        <f t="shared" si="75"/>
        <v>0</v>
      </c>
      <c r="AB246" s="224">
        <f t="shared" si="75"/>
        <v>0</v>
      </c>
      <c r="AC246" s="224">
        <f t="shared" si="75"/>
        <v>0</v>
      </c>
      <c r="AD246" s="224">
        <f t="shared" si="75"/>
        <v>0</v>
      </c>
      <c r="AE246" s="224">
        <f t="shared" si="75"/>
        <v>0</v>
      </c>
      <c r="AF246" s="224">
        <f t="shared" si="75"/>
        <v>0</v>
      </c>
      <c r="AG246" s="224">
        <f t="shared" si="75"/>
        <v>0</v>
      </c>
      <c r="AH246" s="224">
        <f t="shared" si="75"/>
        <v>0</v>
      </c>
      <c r="AI246" s="224">
        <f t="shared" si="75"/>
        <v>0</v>
      </c>
      <c r="AJ246" s="224">
        <f t="shared" si="75"/>
        <v>0</v>
      </c>
      <c r="AK246" s="224">
        <f t="shared" si="75"/>
        <v>0</v>
      </c>
      <c r="AL246" s="224">
        <f t="shared" si="75"/>
        <v>0</v>
      </c>
      <c r="AM246" s="224">
        <f t="shared" si="75"/>
        <v>0</v>
      </c>
      <c r="AN246" s="224">
        <f t="shared" si="75"/>
        <v>0</v>
      </c>
      <c r="AO246" s="224">
        <f t="shared" si="75"/>
        <v>0</v>
      </c>
      <c r="AP246" s="224">
        <f t="shared" si="75"/>
        <v>0</v>
      </c>
      <c r="AQ246" s="224">
        <f t="shared" si="75"/>
        <v>0</v>
      </c>
      <c r="AR246" s="224">
        <f t="shared" si="75"/>
        <v>0</v>
      </c>
      <c r="AS246" s="224">
        <f t="shared" si="75"/>
        <v>0</v>
      </c>
    </row>
    <row r="247" spans="1:45" hidden="1" outlineLevel="2">
      <c r="H247" s="35"/>
      <c r="I247" s="213"/>
      <c r="J247" s="224"/>
    </row>
    <row r="248" spans="1:45" hidden="1" outlineLevel="2">
      <c r="A248" s="15"/>
      <c r="B248" s="16" t="s">
        <v>315</v>
      </c>
      <c r="C248" s="12"/>
      <c r="D248" s="12"/>
      <c r="E248" s="12"/>
      <c r="F248" s="12"/>
      <c r="G248" s="12"/>
      <c r="H248" s="259">
        <f>SUM(H242:H246,H230:H239)</f>
        <v>0</v>
      </c>
      <c r="I248" s="215"/>
      <c r="J248" s="225">
        <f>SUM(J229:J239,J242:J246)</f>
        <v>0</v>
      </c>
      <c r="K248" s="225">
        <f t="shared" ref="K248:AS248" si="77">SUM(K229:K239,K242:K246)</f>
        <v>0</v>
      </c>
      <c r="L248" s="225">
        <f t="shared" si="77"/>
        <v>0</v>
      </c>
      <c r="M248" s="225">
        <f t="shared" si="77"/>
        <v>0</v>
      </c>
      <c r="N248" s="225">
        <f t="shared" si="77"/>
        <v>0</v>
      </c>
      <c r="O248" s="225">
        <f t="shared" si="77"/>
        <v>0</v>
      </c>
      <c r="P248" s="225">
        <f t="shared" si="77"/>
        <v>0</v>
      </c>
      <c r="Q248" s="225">
        <f t="shared" si="77"/>
        <v>0</v>
      </c>
      <c r="R248" s="225">
        <f t="shared" si="77"/>
        <v>0</v>
      </c>
      <c r="S248" s="225">
        <f t="shared" si="77"/>
        <v>0</v>
      </c>
      <c r="T248" s="225">
        <f t="shared" si="77"/>
        <v>0</v>
      </c>
      <c r="U248" s="225">
        <f t="shared" si="77"/>
        <v>0</v>
      </c>
      <c r="V248" s="225">
        <f t="shared" si="77"/>
        <v>0</v>
      </c>
      <c r="W248" s="225">
        <f t="shared" si="77"/>
        <v>0</v>
      </c>
      <c r="X248" s="225">
        <f t="shared" si="77"/>
        <v>0</v>
      </c>
      <c r="Y248" s="225">
        <f t="shared" si="77"/>
        <v>0</v>
      </c>
      <c r="Z248" s="225">
        <f t="shared" si="77"/>
        <v>0</v>
      </c>
      <c r="AA248" s="225">
        <f t="shared" si="77"/>
        <v>0</v>
      </c>
      <c r="AB248" s="225">
        <f t="shared" si="77"/>
        <v>0</v>
      </c>
      <c r="AC248" s="225">
        <f t="shared" si="77"/>
        <v>0</v>
      </c>
      <c r="AD248" s="225">
        <f t="shared" si="77"/>
        <v>0</v>
      </c>
      <c r="AE248" s="225">
        <f t="shared" si="77"/>
        <v>0</v>
      </c>
      <c r="AF248" s="225">
        <f t="shared" si="77"/>
        <v>0</v>
      </c>
      <c r="AG248" s="225">
        <f t="shared" si="77"/>
        <v>0</v>
      </c>
      <c r="AH248" s="225">
        <f t="shared" si="77"/>
        <v>0</v>
      </c>
      <c r="AI248" s="225">
        <f t="shared" si="77"/>
        <v>0</v>
      </c>
      <c r="AJ248" s="225">
        <f t="shared" si="77"/>
        <v>0</v>
      </c>
      <c r="AK248" s="225">
        <f t="shared" si="77"/>
        <v>0</v>
      </c>
      <c r="AL248" s="225">
        <f t="shared" si="77"/>
        <v>0</v>
      </c>
      <c r="AM248" s="225">
        <f t="shared" si="77"/>
        <v>0</v>
      </c>
      <c r="AN248" s="225">
        <f t="shared" si="77"/>
        <v>0</v>
      </c>
      <c r="AO248" s="225">
        <f t="shared" si="77"/>
        <v>0</v>
      </c>
      <c r="AP248" s="225">
        <f t="shared" si="77"/>
        <v>0</v>
      </c>
      <c r="AQ248" s="225">
        <f t="shared" si="77"/>
        <v>0</v>
      </c>
      <c r="AR248" s="225">
        <f t="shared" si="77"/>
        <v>0</v>
      </c>
      <c r="AS248" s="225">
        <f t="shared" si="77"/>
        <v>0</v>
      </c>
    </row>
    <row r="249" spans="1:45" hidden="1" outlineLevel="2">
      <c r="H249" s="35"/>
      <c r="I249" s="213"/>
    </row>
    <row r="250" spans="1:45" hidden="1" outlineLevel="2">
      <c r="B250" s="103" t="str">
        <f>'Input - Option 2 Detailed Input'!C280</f>
        <v>Year 7 of establishment and maintenance</v>
      </c>
      <c r="C250" s="25" t="str">
        <f>'Input - Option 2 Detailed Input'!H281</f>
        <v>Total Costs (per visit)</v>
      </c>
      <c r="D250" s="39">
        <f>IF($C$3=$C$4,'Input - Option 2 Detailed Input'!D280,)</f>
        <v>0</v>
      </c>
      <c r="H250" s="35"/>
      <c r="I250" s="213"/>
    </row>
    <row r="251" spans="1:45" hidden="1" outlineLevel="2">
      <c r="B251" s="9" t="str">
        <f>'Input - Option 2 Detailed Input'!$C$156</f>
        <v>Recuring unitary maintenance visits (e.g. watering, mulching, etc.)</v>
      </c>
      <c r="C251" s="44">
        <f>'Input - Option 2 Detailed Input'!H282</f>
        <v>0</v>
      </c>
      <c r="H251" s="343">
        <f t="shared" ref="H251:H260" si="78">SUM(J251:EJ251)</f>
        <v>0</v>
      </c>
      <c r="I251" s="211"/>
      <c r="J251" s="224">
        <f>-IF((J$3=$D$250),($C251)*J$4,)</f>
        <v>0</v>
      </c>
      <c r="K251" s="224">
        <f t="shared" ref="K251:AS258" si="79">-IF((K$3=$D$250),($C251)*K$4,)</f>
        <v>0</v>
      </c>
      <c r="L251" s="224">
        <f t="shared" si="79"/>
        <v>0</v>
      </c>
      <c r="M251" s="224">
        <f t="shared" si="79"/>
        <v>0</v>
      </c>
      <c r="N251" s="224">
        <f t="shared" si="79"/>
        <v>0</v>
      </c>
      <c r="O251" s="224">
        <f t="shared" si="79"/>
        <v>0</v>
      </c>
      <c r="P251" s="224">
        <f t="shared" si="79"/>
        <v>0</v>
      </c>
      <c r="Q251" s="224">
        <f t="shared" si="79"/>
        <v>0</v>
      </c>
      <c r="R251" s="224">
        <f t="shared" si="79"/>
        <v>0</v>
      </c>
      <c r="S251" s="224">
        <f t="shared" si="79"/>
        <v>0</v>
      </c>
      <c r="T251" s="224">
        <f t="shared" si="79"/>
        <v>0</v>
      </c>
      <c r="U251" s="224">
        <f t="shared" si="79"/>
        <v>0</v>
      </c>
      <c r="V251" s="224">
        <f t="shared" si="79"/>
        <v>0</v>
      </c>
      <c r="W251" s="224">
        <f t="shared" si="79"/>
        <v>0</v>
      </c>
      <c r="X251" s="224">
        <f t="shared" si="79"/>
        <v>0</v>
      </c>
      <c r="Y251" s="224">
        <f t="shared" si="79"/>
        <v>0</v>
      </c>
      <c r="Z251" s="224">
        <f t="shared" si="79"/>
        <v>0</v>
      </c>
      <c r="AA251" s="224">
        <f t="shared" si="79"/>
        <v>0</v>
      </c>
      <c r="AB251" s="224">
        <f t="shared" si="79"/>
        <v>0</v>
      </c>
      <c r="AC251" s="224">
        <f t="shared" si="79"/>
        <v>0</v>
      </c>
      <c r="AD251" s="224">
        <f t="shared" si="79"/>
        <v>0</v>
      </c>
      <c r="AE251" s="224">
        <f t="shared" si="79"/>
        <v>0</v>
      </c>
      <c r="AF251" s="224">
        <f t="shared" si="79"/>
        <v>0</v>
      </c>
      <c r="AG251" s="224">
        <f t="shared" si="79"/>
        <v>0</v>
      </c>
      <c r="AH251" s="224">
        <f t="shared" si="79"/>
        <v>0</v>
      </c>
      <c r="AI251" s="224">
        <f t="shared" si="79"/>
        <v>0</v>
      </c>
      <c r="AJ251" s="224">
        <f t="shared" si="79"/>
        <v>0</v>
      </c>
      <c r="AK251" s="224">
        <f t="shared" si="79"/>
        <v>0</v>
      </c>
      <c r="AL251" s="224">
        <f t="shared" si="79"/>
        <v>0</v>
      </c>
      <c r="AM251" s="224">
        <f t="shared" si="79"/>
        <v>0</v>
      </c>
      <c r="AN251" s="224">
        <f t="shared" si="79"/>
        <v>0</v>
      </c>
      <c r="AO251" s="224">
        <f t="shared" si="79"/>
        <v>0</v>
      </c>
      <c r="AP251" s="224">
        <f t="shared" si="79"/>
        <v>0</v>
      </c>
      <c r="AQ251" s="224">
        <f t="shared" si="79"/>
        <v>0</v>
      </c>
      <c r="AR251" s="224">
        <f t="shared" si="79"/>
        <v>0</v>
      </c>
      <c r="AS251" s="224">
        <f t="shared" si="79"/>
        <v>0</v>
      </c>
    </row>
    <row r="252" spans="1:45" hidden="1" outlineLevel="2">
      <c r="B252" s="9" t="str">
        <f>'Input - Option 2 Detailed Input'!$C$158</f>
        <v>Establishment checks (including collection, collation, interpretation and sharing of consistent tree establishment data )</v>
      </c>
      <c r="C252" s="44">
        <f>'Input - Option 2 Detailed Input'!H284</f>
        <v>0</v>
      </c>
      <c r="H252" s="343">
        <f t="shared" si="78"/>
        <v>0</v>
      </c>
      <c r="I252" s="211"/>
      <c r="J252" s="224">
        <f t="shared" ref="J252:Y260" si="80">-IF((J$3=$D$250),($C252)*J$4,)</f>
        <v>0</v>
      </c>
      <c r="K252" s="224">
        <f t="shared" si="80"/>
        <v>0</v>
      </c>
      <c r="L252" s="224">
        <f t="shared" si="80"/>
        <v>0</v>
      </c>
      <c r="M252" s="224">
        <f t="shared" si="80"/>
        <v>0</v>
      </c>
      <c r="N252" s="224">
        <f t="shared" si="80"/>
        <v>0</v>
      </c>
      <c r="O252" s="224">
        <f t="shared" si="80"/>
        <v>0</v>
      </c>
      <c r="P252" s="224">
        <f t="shared" si="80"/>
        <v>0</v>
      </c>
      <c r="Q252" s="224">
        <f t="shared" si="80"/>
        <v>0</v>
      </c>
      <c r="R252" s="224">
        <f t="shared" si="80"/>
        <v>0</v>
      </c>
      <c r="S252" s="224">
        <f t="shared" si="80"/>
        <v>0</v>
      </c>
      <c r="T252" s="224">
        <f t="shared" si="80"/>
        <v>0</v>
      </c>
      <c r="U252" s="224">
        <f t="shared" si="80"/>
        <v>0</v>
      </c>
      <c r="V252" s="224">
        <f t="shared" si="80"/>
        <v>0</v>
      </c>
      <c r="W252" s="224">
        <f t="shared" si="80"/>
        <v>0</v>
      </c>
      <c r="X252" s="224">
        <f t="shared" si="80"/>
        <v>0</v>
      </c>
      <c r="Y252" s="224">
        <f t="shared" si="80"/>
        <v>0</v>
      </c>
      <c r="Z252" s="224">
        <f t="shared" si="79"/>
        <v>0</v>
      </c>
      <c r="AA252" s="224">
        <f t="shared" si="79"/>
        <v>0</v>
      </c>
      <c r="AB252" s="224">
        <f t="shared" si="79"/>
        <v>0</v>
      </c>
      <c r="AC252" s="224">
        <f t="shared" si="79"/>
        <v>0</v>
      </c>
      <c r="AD252" s="224">
        <f t="shared" si="79"/>
        <v>0</v>
      </c>
      <c r="AE252" s="224">
        <f t="shared" si="79"/>
        <v>0</v>
      </c>
      <c r="AF252" s="224">
        <f t="shared" si="79"/>
        <v>0</v>
      </c>
      <c r="AG252" s="224">
        <f t="shared" si="79"/>
        <v>0</v>
      </c>
      <c r="AH252" s="224">
        <f t="shared" si="79"/>
        <v>0</v>
      </c>
      <c r="AI252" s="224">
        <f t="shared" si="79"/>
        <v>0</v>
      </c>
      <c r="AJ252" s="224">
        <f t="shared" si="79"/>
        <v>0</v>
      </c>
      <c r="AK252" s="224">
        <f t="shared" si="79"/>
        <v>0</v>
      </c>
      <c r="AL252" s="224">
        <f t="shared" si="79"/>
        <v>0</v>
      </c>
      <c r="AM252" s="224">
        <f t="shared" si="79"/>
        <v>0</v>
      </c>
      <c r="AN252" s="224">
        <f t="shared" si="79"/>
        <v>0</v>
      </c>
      <c r="AO252" s="224">
        <f t="shared" si="79"/>
        <v>0</v>
      </c>
      <c r="AP252" s="224">
        <f t="shared" si="79"/>
        <v>0</v>
      </c>
      <c r="AQ252" s="224">
        <f t="shared" si="79"/>
        <v>0</v>
      </c>
      <c r="AR252" s="224">
        <f t="shared" si="79"/>
        <v>0</v>
      </c>
      <c r="AS252" s="224">
        <f t="shared" si="79"/>
        <v>0</v>
      </c>
    </row>
    <row r="253" spans="1:45" hidden="1" outlineLevel="2">
      <c r="B253" s="9" t="str">
        <f>'Input - Option 2 Detailed Input'!$C$159</f>
        <v>Maintenance, removal and/or disposal of (where relevant) stakes, ties, and guard, grills, concrete rings, base surrounds, tree protection, etc.</v>
      </c>
      <c r="C253" s="44">
        <f>'Input - Option 2 Detailed Input'!H285</f>
        <v>0</v>
      </c>
      <c r="H253" s="343">
        <f t="shared" si="78"/>
        <v>0</v>
      </c>
      <c r="I253" s="211"/>
      <c r="J253" s="224">
        <f t="shared" si="80"/>
        <v>0</v>
      </c>
      <c r="K253" s="224">
        <f t="shared" si="79"/>
        <v>0</v>
      </c>
      <c r="L253" s="224">
        <f t="shared" si="79"/>
        <v>0</v>
      </c>
      <c r="M253" s="224">
        <f t="shared" si="79"/>
        <v>0</v>
      </c>
      <c r="N253" s="224">
        <f t="shared" si="79"/>
        <v>0</v>
      </c>
      <c r="O253" s="224">
        <f t="shared" si="79"/>
        <v>0</v>
      </c>
      <c r="P253" s="224">
        <f t="shared" si="79"/>
        <v>0</v>
      </c>
      <c r="Q253" s="224">
        <f t="shared" si="79"/>
        <v>0</v>
      </c>
      <c r="R253" s="224">
        <f t="shared" si="79"/>
        <v>0</v>
      </c>
      <c r="S253" s="224">
        <f t="shared" si="79"/>
        <v>0</v>
      </c>
      <c r="T253" s="224">
        <f t="shared" si="79"/>
        <v>0</v>
      </c>
      <c r="U253" s="224">
        <f t="shared" si="79"/>
        <v>0</v>
      </c>
      <c r="V253" s="224">
        <f t="shared" si="79"/>
        <v>0</v>
      </c>
      <c r="W253" s="224">
        <f t="shared" si="79"/>
        <v>0</v>
      </c>
      <c r="X253" s="224">
        <f t="shared" si="79"/>
        <v>0</v>
      </c>
      <c r="Y253" s="224">
        <f t="shared" si="79"/>
        <v>0</v>
      </c>
      <c r="Z253" s="224">
        <f t="shared" si="79"/>
        <v>0</v>
      </c>
      <c r="AA253" s="224">
        <f t="shared" si="79"/>
        <v>0</v>
      </c>
      <c r="AB253" s="224">
        <f t="shared" si="79"/>
        <v>0</v>
      </c>
      <c r="AC253" s="224">
        <f t="shared" si="79"/>
        <v>0</v>
      </c>
      <c r="AD253" s="224">
        <f t="shared" si="79"/>
        <v>0</v>
      </c>
      <c r="AE253" s="224">
        <f t="shared" si="79"/>
        <v>0</v>
      </c>
      <c r="AF253" s="224">
        <f t="shared" si="79"/>
        <v>0</v>
      </c>
      <c r="AG253" s="224">
        <f t="shared" si="79"/>
        <v>0</v>
      </c>
      <c r="AH253" s="224">
        <f t="shared" si="79"/>
        <v>0</v>
      </c>
      <c r="AI253" s="224">
        <f t="shared" si="79"/>
        <v>0</v>
      </c>
      <c r="AJ253" s="224">
        <f t="shared" si="79"/>
        <v>0</v>
      </c>
      <c r="AK253" s="224">
        <f t="shared" si="79"/>
        <v>0</v>
      </c>
      <c r="AL253" s="224">
        <f t="shared" si="79"/>
        <v>0</v>
      </c>
      <c r="AM253" s="224">
        <f t="shared" si="79"/>
        <v>0</v>
      </c>
      <c r="AN253" s="224">
        <f t="shared" si="79"/>
        <v>0</v>
      </c>
      <c r="AO253" s="224">
        <f t="shared" si="79"/>
        <v>0</v>
      </c>
      <c r="AP253" s="224">
        <f t="shared" si="79"/>
        <v>0</v>
      </c>
      <c r="AQ253" s="224">
        <f t="shared" si="79"/>
        <v>0</v>
      </c>
      <c r="AR253" s="224">
        <f t="shared" si="79"/>
        <v>0</v>
      </c>
      <c r="AS253" s="224">
        <f t="shared" si="79"/>
        <v>0</v>
      </c>
    </row>
    <row r="254" spans="1:45" hidden="1" outlineLevel="2">
      <c r="B254" s="9" t="str">
        <f>'Input - Option 2 Detailed Input'!$C$160</f>
        <v xml:space="preserve">Safety inspection cost </v>
      </c>
      <c r="C254" s="44">
        <f>'Input - Option 2 Detailed Input'!H286</f>
        <v>0</v>
      </c>
      <c r="H254" s="343">
        <f t="shared" si="78"/>
        <v>0</v>
      </c>
      <c r="I254" s="211"/>
      <c r="J254" s="224">
        <f t="shared" si="80"/>
        <v>0</v>
      </c>
      <c r="K254" s="224">
        <f t="shared" si="79"/>
        <v>0</v>
      </c>
      <c r="L254" s="224">
        <f t="shared" si="79"/>
        <v>0</v>
      </c>
      <c r="M254" s="224">
        <f t="shared" si="79"/>
        <v>0</v>
      </c>
      <c r="N254" s="224">
        <f t="shared" si="79"/>
        <v>0</v>
      </c>
      <c r="O254" s="224">
        <f t="shared" si="79"/>
        <v>0</v>
      </c>
      <c r="P254" s="224">
        <f t="shared" si="79"/>
        <v>0</v>
      </c>
      <c r="Q254" s="224">
        <f t="shared" si="79"/>
        <v>0</v>
      </c>
      <c r="R254" s="224">
        <f t="shared" si="79"/>
        <v>0</v>
      </c>
      <c r="S254" s="224">
        <f t="shared" si="79"/>
        <v>0</v>
      </c>
      <c r="T254" s="224">
        <f t="shared" si="79"/>
        <v>0</v>
      </c>
      <c r="U254" s="224">
        <f t="shared" si="79"/>
        <v>0</v>
      </c>
      <c r="V254" s="224">
        <f t="shared" si="79"/>
        <v>0</v>
      </c>
      <c r="W254" s="224">
        <f t="shared" si="79"/>
        <v>0</v>
      </c>
      <c r="X254" s="224">
        <f t="shared" si="79"/>
        <v>0</v>
      </c>
      <c r="Y254" s="224">
        <f t="shared" si="79"/>
        <v>0</v>
      </c>
      <c r="Z254" s="224">
        <f t="shared" si="79"/>
        <v>0</v>
      </c>
      <c r="AA254" s="224">
        <f t="shared" si="79"/>
        <v>0</v>
      </c>
      <c r="AB254" s="224">
        <f t="shared" si="79"/>
        <v>0</v>
      </c>
      <c r="AC254" s="224">
        <f t="shared" si="79"/>
        <v>0</v>
      </c>
      <c r="AD254" s="224">
        <f t="shared" si="79"/>
        <v>0</v>
      </c>
      <c r="AE254" s="224">
        <f t="shared" si="79"/>
        <v>0</v>
      </c>
      <c r="AF254" s="224">
        <f t="shared" si="79"/>
        <v>0</v>
      </c>
      <c r="AG254" s="224">
        <f t="shared" si="79"/>
        <v>0</v>
      </c>
      <c r="AH254" s="224">
        <f t="shared" si="79"/>
        <v>0</v>
      </c>
      <c r="AI254" s="224">
        <f t="shared" si="79"/>
        <v>0</v>
      </c>
      <c r="AJ254" s="224">
        <f t="shared" si="79"/>
        <v>0</v>
      </c>
      <c r="AK254" s="224">
        <f t="shared" si="79"/>
        <v>0</v>
      </c>
      <c r="AL254" s="224">
        <f t="shared" si="79"/>
        <v>0</v>
      </c>
      <c r="AM254" s="224">
        <f t="shared" si="79"/>
        <v>0</v>
      </c>
      <c r="AN254" s="224">
        <f t="shared" si="79"/>
        <v>0</v>
      </c>
      <c r="AO254" s="224">
        <f t="shared" si="79"/>
        <v>0</v>
      </c>
      <c r="AP254" s="224">
        <f t="shared" si="79"/>
        <v>0</v>
      </c>
      <c r="AQ254" s="224">
        <f t="shared" si="79"/>
        <v>0</v>
      </c>
      <c r="AR254" s="224">
        <f t="shared" si="79"/>
        <v>0</v>
      </c>
      <c r="AS254" s="224">
        <f t="shared" si="79"/>
        <v>0</v>
      </c>
    </row>
    <row r="255" spans="1:45" hidden="1" outlineLevel="2">
      <c r="B255" s="9" t="str">
        <f>'Input - Option 2 Detailed Input'!$C$161</f>
        <v xml:space="preserve">Crown lifting </v>
      </c>
      <c r="C255" s="44">
        <f>'Input - Option 2 Detailed Input'!H287</f>
        <v>0</v>
      </c>
      <c r="H255" s="343">
        <f t="shared" si="78"/>
        <v>0</v>
      </c>
      <c r="I255" s="211"/>
      <c r="J255" s="224">
        <f t="shared" si="80"/>
        <v>0</v>
      </c>
      <c r="K255" s="224">
        <f t="shared" si="79"/>
        <v>0</v>
      </c>
      <c r="L255" s="224">
        <f t="shared" si="79"/>
        <v>0</v>
      </c>
      <c r="M255" s="224">
        <f t="shared" si="79"/>
        <v>0</v>
      </c>
      <c r="N255" s="224">
        <f t="shared" si="79"/>
        <v>0</v>
      </c>
      <c r="O255" s="224">
        <f t="shared" si="79"/>
        <v>0</v>
      </c>
      <c r="P255" s="224">
        <f t="shared" si="79"/>
        <v>0</v>
      </c>
      <c r="Q255" s="224">
        <f t="shared" si="79"/>
        <v>0</v>
      </c>
      <c r="R255" s="224">
        <f t="shared" si="79"/>
        <v>0</v>
      </c>
      <c r="S255" s="224">
        <f t="shared" si="79"/>
        <v>0</v>
      </c>
      <c r="T255" s="224">
        <f t="shared" si="79"/>
        <v>0</v>
      </c>
      <c r="U255" s="224">
        <f t="shared" si="79"/>
        <v>0</v>
      </c>
      <c r="V255" s="224">
        <f t="shared" si="79"/>
        <v>0</v>
      </c>
      <c r="W255" s="224">
        <f t="shared" si="79"/>
        <v>0</v>
      </c>
      <c r="X255" s="224">
        <f t="shared" si="79"/>
        <v>0</v>
      </c>
      <c r="Y255" s="224">
        <f t="shared" si="79"/>
        <v>0</v>
      </c>
      <c r="Z255" s="224">
        <f t="shared" si="79"/>
        <v>0</v>
      </c>
      <c r="AA255" s="224">
        <f t="shared" si="79"/>
        <v>0</v>
      </c>
      <c r="AB255" s="224">
        <f t="shared" si="79"/>
        <v>0</v>
      </c>
      <c r="AC255" s="224">
        <f t="shared" si="79"/>
        <v>0</v>
      </c>
      <c r="AD255" s="224">
        <f t="shared" si="79"/>
        <v>0</v>
      </c>
      <c r="AE255" s="224">
        <f t="shared" si="79"/>
        <v>0</v>
      </c>
      <c r="AF255" s="224">
        <f t="shared" si="79"/>
        <v>0</v>
      </c>
      <c r="AG255" s="224">
        <f t="shared" si="79"/>
        <v>0</v>
      </c>
      <c r="AH255" s="224">
        <f t="shared" si="79"/>
        <v>0</v>
      </c>
      <c r="AI255" s="224">
        <f t="shared" si="79"/>
        <v>0</v>
      </c>
      <c r="AJ255" s="224">
        <f t="shared" si="79"/>
        <v>0</v>
      </c>
      <c r="AK255" s="224">
        <f t="shared" si="79"/>
        <v>0</v>
      </c>
      <c r="AL255" s="224">
        <f t="shared" si="79"/>
        <v>0</v>
      </c>
      <c r="AM255" s="224">
        <f t="shared" si="79"/>
        <v>0</v>
      </c>
      <c r="AN255" s="224">
        <f t="shared" si="79"/>
        <v>0</v>
      </c>
      <c r="AO255" s="224">
        <f t="shared" si="79"/>
        <v>0</v>
      </c>
      <c r="AP255" s="224">
        <f t="shared" si="79"/>
        <v>0</v>
      </c>
      <c r="AQ255" s="224">
        <f t="shared" si="79"/>
        <v>0</v>
      </c>
      <c r="AR255" s="224">
        <f t="shared" si="79"/>
        <v>0</v>
      </c>
      <c r="AS255" s="224">
        <f t="shared" si="79"/>
        <v>0</v>
      </c>
    </row>
    <row r="256" spans="1:45" hidden="1" outlineLevel="2">
      <c r="B256" s="9" t="str">
        <f>'Input - Option 2 Detailed Input'!$C$162</f>
        <v>Deadwood cleanout</v>
      </c>
      <c r="C256" s="44">
        <f>'Input - Option 2 Detailed Input'!H288</f>
        <v>0</v>
      </c>
      <c r="H256" s="343">
        <f t="shared" si="78"/>
        <v>0</v>
      </c>
      <c r="I256" s="211"/>
      <c r="J256" s="224">
        <f t="shared" si="80"/>
        <v>0</v>
      </c>
      <c r="K256" s="224">
        <f t="shared" si="79"/>
        <v>0</v>
      </c>
      <c r="L256" s="224">
        <f t="shared" si="79"/>
        <v>0</v>
      </c>
      <c r="M256" s="224">
        <f t="shared" si="79"/>
        <v>0</v>
      </c>
      <c r="N256" s="224">
        <f t="shared" si="79"/>
        <v>0</v>
      </c>
      <c r="O256" s="224">
        <f t="shared" si="79"/>
        <v>0</v>
      </c>
      <c r="P256" s="224">
        <f t="shared" si="79"/>
        <v>0</v>
      </c>
      <c r="Q256" s="224">
        <f t="shared" si="79"/>
        <v>0</v>
      </c>
      <c r="R256" s="224">
        <f t="shared" si="79"/>
        <v>0</v>
      </c>
      <c r="S256" s="224">
        <f t="shared" si="79"/>
        <v>0</v>
      </c>
      <c r="T256" s="224">
        <f t="shared" si="79"/>
        <v>0</v>
      </c>
      <c r="U256" s="224">
        <f t="shared" si="79"/>
        <v>0</v>
      </c>
      <c r="V256" s="224">
        <f t="shared" si="79"/>
        <v>0</v>
      </c>
      <c r="W256" s="224">
        <f t="shared" si="79"/>
        <v>0</v>
      </c>
      <c r="X256" s="224">
        <f t="shared" si="79"/>
        <v>0</v>
      </c>
      <c r="Y256" s="224">
        <f t="shared" si="79"/>
        <v>0</v>
      </c>
      <c r="Z256" s="224">
        <f t="shared" si="79"/>
        <v>0</v>
      </c>
      <c r="AA256" s="224">
        <f t="shared" si="79"/>
        <v>0</v>
      </c>
      <c r="AB256" s="224">
        <f t="shared" si="79"/>
        <v>0</v>
      </c>
      <c r="AC256" s="224">
        <f t="shared" si="79"/>
        <v>0</v>
      </c>
      <c r="AD256" s="224">
        <f t="shared" si="79"/>
        <v>0</v>
      </c>
      <c r="AE256" s="224">
        <f t="shared" si="79"/>
        <v>0</v>
      </c>
      <c r="AF256" s="224">
        <f t="shared" si="79"/>
        <v>0</v>
      </c>
      <c r="AG256" s="224">
        <f t="shared" si="79"/>
        <v>0</v>
      </c>
      <c r="AH256" s="224">
        <f t="shared" si="79"/>
        <v>0</v>
      </c>
      <c r="AI256" s="224">
        <f t="shared" si="79"/>
        <v>0</v>
      </c>
      <c r="AJ256" s="224">
        <f t="shared" si="79"/>
        <v>0</v>
      </c>
      <c r="AK256" s="224">
        <f t="shared" si="79"/>
        <v>0</v>
      </c>
      <c r="AL256" s="224">
        <f t="shared" si="79"/>
        <v>0</v>
      </c>
      <c r="AM256" s="224">
        <f t="shared" si="79"/>
        <v>0</v>
      </c>
      <c r="AN256" s="224">
        <f t="shared" si="79"/>
        <v>0</v>
      </c>
      <c r="AO256" s="224">
        <f t="shared" si="79"/>
        <v>0</v>
      </c>
      <c r="AP256" s="224">
        <f t="shared" si="79"/>
        <v>0</v>
      </c>
      <c r="AQ256" s="224">
        <f t="shared" si="79"/>
        <v>0</v>
      </c>
      <c r="AR256" s="224">
        <f t="shared" si="79"/>
        <v>0</v>
      </c>
      <c r="AS256" s="224">
        <f t="shared" si="79"/>
        <v>0</v>
      </c>
    </row>
    <row r="257" spans="1:45" hidden="1" outlineLevel="2">
      <c r="B257" s="9" t="str">
        <f>'Input - Option 2 Detailed Input'!$C$163</f>
        <v>Additional costs related for specialist pruning regimes</v>
      </c>
      <c r="C257" s="44">
        <f>'Input - Option 2 Detailed Input'!H289</f>
        <v>0</v>
      </c>
      <c r="H257" s="343">
        <f t="shared" si="78"/>
        <v>0</v>
      </c>
      <c r="I257" s="211"/>
      <c r="J257" s="224">
        <f t="shared" si="80"/>
        <v>0</v>
      </c>
      <c r="K257" s="224">
        <f t="shared" si="79"/>
        <v>0</v>
      </c>
      <c r="L257" s="224">
        <f t="shared" si="79"/>
        <v>0</v>
      </c>
      <c r="M257" s="224">
        <f t="shared" si="79"/>
        <v>0</v>
      </c>
      <c r="N257" s="224">
        <f t="shared" si="79"/>
        <v>0</v>
      </c>
      <c r="O257" s="224">
        <f t="shared" si="79"/>
        <v>0</v>
      </c>
      <c r="P257" s="224">
        <f t="shared" si="79"/>
        <v>0</v>
      </c>
      <c r="Q257" s="224">
        <f t="shared" si="79"/>
        <v>0</v>
      </c>
      <c r="R257" s="224">
        <f t="shared" si="79"/>
        <v>0</v>
      </c>
      <c r="S257" s="224">
        <f t="shared" si="79"/>
        <v>0</v>
      </c>
      <c r="T257" s="224">
        <f t="shared" si="79"/>
        <v>0</v>
      </c>
      <c r="U257" s="224">
        <f t="shared" si="79"/>
        <v>0</v>
      </c>
      <c r="V257" s="224">
        <f t="shared" si="79"/>
        <v>0</v>
      </c>
      <c r="W257" s="224">
        <f t="shared" si="79"/>
        <v>0</v>
      </c>
      <c r="X257" s="224">
        <f t="shared" si="79"/>
        <v>0</v>
      </c>
      <c r="Y257" s="224">
        <f t="shared" si="79"/>
        <v>0</v>
      </c>
      <c r="Z257" s="224">
        <f t="shared" si="79"/>
        <v>0</v>
      </c>
      <c r="AA257" s="224">
        <f t="shared" si="79"/>
        <v>0</v>
      </c>
      <c r="AB257" s="224">
        <f t="shared" si="79"/>
        <v>0</v>
      </c>
      <c r="AC257" s="224">
        <f t="shared" si="79"/>
        <v>0</v>
      </c>
      <c r="AD257" s="224">
        <f t="shared" si="79"/>
        <v>0</v>
      </c>
      <c r="AE257" s="224">
        <f t="shared" si="79"/>
        <v>0</v>
      </c>
      <c r="AF257" s="224">
        <f t="shared" si="79"/>
        <v>0</v>
      </c>
      <c r="AG257" s="224">
        <f t="shared" si="79"/>
        <v>0</v>
      </c>
      <c r="AH257" s="224">
        <f t="shared" si="79"/>
        <v>0</v>
      </c>
      <c r="AI257" s="224">
        <f t="shared" si="79"/>
        <v>0</v>
      </c>
      <c r="AJ257" s="224">
        <f t="shared" si="79"/>
        <v>0</v>
      </c>
      <c r="AK257" s="224">
        <f t="shared" si="79"/>
        <v>0</v>
      </c>
      <c r="AL257" s="224">
        <f t="shared" si="79"/>
        <v>0</v>
      </c>
      <c r="AM257" s="224">
        <f t="shared" si="79"/>
        <v>0</v>
      </c>
      <c r="AN257" s="224">
        <f t="shared" si="79"/>
        <v>0</v>
      </c>
      <c r="AO257" s="224">
        <f t="shared" si="79"/>
        <v>0</v>
      </c>
      <c r="AP257" s="224">
        <f t="shared" si="79"/>
        <v>0</v>
      </c>
      <c r="AQ257" s="224">
        <f t="shared" si="79"/>
        <v>0</v>
      </c>
      <c r="AR257" s="224">
        <f t="shared" si="79"/>
        <v>0</v>
      </c>
      <c r="AS257" s="224">
        <f t="shared" si="79"/>
        <v>0</v>
      </c>
    </row>
    <row r="258" spans="1:45" hidden="1" outlineLevel="2">
      <c r="B258" s="9" t="str">
        <f>'Input - Option 2 Detailed Input'!$C$164</f>
        <v>Weeding</v>
      </c>
      <c r="C258" s="44">
        <f>'Input - Option 2 Detailed Input'!H290</f>
        <v>0</v>
      </c>
      <c r="H258" s="343">
        <f t="shared" si="78"/>
        <v>0</v>
      </c>
      <c r="I258" s="211"/>
      <c r="J258" s="224">
        <f t="shared" si="80"/>
        <v>0</v>
      </c>
      <c r="K258" s="224">
        <f t="shared" si="79"/>
        <v>0</v>
      </c>
      <c r="L258" s="224">
        <f t="shared" si="79"/>
        <v>0</v>
      </c>
      <c r="M258" s="224">
        <f t="shared" si="79"/>
        <v>0</v>
      </c>
      <c r="N258" s="224">
        <f t="shared" si="79"/>
        <v>0</v>
      </c>
      <c r="O258" s="224">
        <f t="shared" si="79"/>
        <v>0</v>
      </c>
      <c r="P258" s="224">
        <f t="shared" si="79"/>
        <v>0</v>
      </c>
      <c r="Q258" s="224">
        <f t="shared" si="79"/>
        <v>0</v>
      </c>
      <c r="R258" s="224">
        <f t="shared" si="79"/>
        <v>0</v>
      </c>
      <c r="S258" s="224">
        <f t="shared" si="79"/>
        <v>0</v>
      </c>
      <c r="T258" s="224">
        <f t="shared" si="79"/>
        <v>0</v>
      </c>
      <c r="U258" s="224">
        <f t="shared" si="79"/>
        <v>0</v>
      </c>
      <c r="V258" s="224">
        <f t="shared" si="79"/>
        <v>0</v>
      </c>
      <c r="W258" s="224">
        <f t="shared" si="79"/>
        <v>0</v>
      </c>
      <c r="X258" s="224">
        <f t="shared" si="79"/>
        <v>0</v>
      </c>
      <c r="Y258" s="224">
        <f t="shared" si="79"/>
        <v>0</v>
      </c>
      <c r="Z258" s="224">
        <f t="shared" si="79"/>
        <v>0</v>
      </c>
      <c r="AA258" s="224">
        <f t="shared" si="79"/>
        <v>0</v>
      </c>
      <c r="AB258" s="224">
        <f t="shared" si="79"/>
        <v>0</v>
      </c>
      <c r="AC258" s="224">
        <f t="shared" si="79"/>
        <v>0</v>
      </c>
      <c r="AD258" s="224">
        <f t="shared" si="79"/>
        <v>0</v>
      </c>
      <c r="AE258" s="224">
        <f t="shared" si="79"/>
        <v>0</v>
      </c>
      <c r="AF258" s="224">
        <f t="shared" si="79"/>
        <v>0</v>
      </c>
      <c r="AG258" s="224">
        <f t="shared" si="79"/>
        <v>0</v>
      </c>
      <c r="AH258" s="224">
        <f t="shared" si="79"/>
        <v>0</v>
      </c>
      <c r="AI258" s="224">
        <f t="shared" si="79"/>
        <v>0</v>
      </c>
      <c r="AJ258" s="224">
        <f t="shared" ref="K258:AS260" si="81">-IF((AJ$3=$D$250),($C258)*AJ$4,)</f>
        <v>0</v>
      </c>
      <c r="AK258" s="224">
        <f t="shared" si="81"/>
        <v>0</v>
      </c>
      <c r="AL258" s="224">
        <f t="shared" si="81"/>
        <v>0</v>
      </c>
      <c r="AM258" s="224">
        <f t="shared" si="81"/>
        <v>0</v>
      </c>
      <c r="AN258" s="224">
        <f t="shared" si="81"/>
        <v>0</v>
      </c>
      <c r="AO258" s="224">
        <f t="shared" si="81"/>
        <v>0</v>
      </c>
      <c r="AP258" s="224">
        <f t="shared" si="81"/>
        <v>0</v>
      </c>
      <c r="AQ258" s="224">
        <f t="shared" si="81"/>
        <v>0</v>
      </c>
      <c r="AR258" s="224">
        <f t="shared" si="81"/>
        <v>0</v>
      </c>
      <c r="AS258" s="224">
        <f t="shared" si="81"/>
        <v>0</v>
      </c>
    </row>
    <row r="259" spans="1:45" hidden="1" outlineLevel="2">
      <c r="B259" s="9" t="str">
        <f>'Input - Option 2 Detailed Input'!$C$165</f>
        <v>Epicormic growth removal </v>
      </c>
      <c r="C259" s="44">
        <f>'Input - Option 2 Detailed Input'!H291</f>
        <v>0</v>
      </c>
      <c r="H259" s="343">
        <f t="shared" si="78"/>
        <v>0</v>
      </c>
      <c r="I259" s="211"/>
      <c r="J259" s="224">
        <f t="shared" si="80"/>
        <v>0</v>
      </c>
      <c r="K259" s="224">
        <f t="shared" si="81"/>
        <v>0</v>
      </c>
      <c r="L259" s="224">
        <f t="shared" si="81"/>
        <v>0</v>
      </c>
      <c r="M259" s="224">
        <f t="shared" si="81"/>
        <v>0</v>
      </c>
      <c r="N259" s="224">
        <f t="shared" si="81"/>
        <v>0</v>
      </c>
      <c r="O259" s="224">
        <f t="shared" si="81"/>
        <v>0</v>
      </c>
      <c r="P259" s="224">
        <f t="shared" si="81"/>
        <v>0</v>
      </c>
      <c r="Q259" s="224">
        <f t="shared" si="81"/>
        <v>0</v>
      </c>
      <c r="R259" s="224">
        <f t="shared" si="81"/>
        <v>0</v>
      </c>
      <c r="S259" s="224">
        <f t="shared" si="81"/>
        <v>0</v>
      </c>
      <c r="T259" s="224">
        <f t="shared" si="81"/>
        <v>0</v>
      </c>
      <c r="U259" s="224">
        <f t="shared" si="81"/>
        <v>0</v>
      </c>
      <c r="V259" s="224">
        <f t="shared" si="81"/>
        <v>0</v>
      </c>
      <c r="W259" s="224">
        <f t="shared" si="81"/>
        <v>0</v>
      </c>
      <c r="X259" s="224">
        <f t="shared" si="81"/>
        <v>0</v>
      </c>
      <c r="Y259" s="224">
        <f t="shared" si="81"/>
        <v>0</v>
      </c>
      <c r="Z259" s="224">
        <f t="shared" si="81"/>
        <v>0</v>
      </c>
      <c r="AA259" s="224">
        <f t="shared" si="81"/>
        <v>0</v>
      </c>
      <c r="AB259" s="224">
        <f t="shared" si="81"/>
        <v>0</v>
      </c>
      <c r="AC259" s="224">
        <f t="shared" si="81"/>
        <v>0</v>
      </c>
      <c r="AD259" s="224">
        <f t="shared" si="81"/>
        <v>0</v>
      </c>
      <c r="AE259" s="224">
        <f t="shared" si="81"/>
        <v>0</v>
      </c>
      <c r="AF259" s="224">
        <f t="shared" si="81"/>
        <v>0</v>
      </c>
      <c r="AG259" s="224">
        <f t="shared" si="81"/>
        <v>0</v>
      </c>
      <c r="AH259" s="224">
        <f t="shared" si="81"/>
        <v>0</v>
      </c>
      <c r="AI259" s="224">
        <f t="shared" si="81"/>
        <v>0</v>
      </c>
      <c r="AJ259" s="224">
        <f t="shared" si="81"/>
        <v>0</v>
      </c>
      <c r="AK259" s="224">
        <f t="shared" si="81"/>
        <v>0</v>
      </c>
      <c r="AL259" s="224">
        <f t="shared" si="81"/>
        <v>0</v>
      </c>
      <c r="AM259" s="224">
        <f t="shared" si="81"/>
        <v>0</v>
      </c>
      <c r="AN259" s="224">
        <f t="shared" si="81"/>
        <v>0</v>
      </c>
      <c r="AO259" s="224">
        <f t="shared" si="81"/>
        <v>0</v>
      </c>
      <c r="AP259" s="224">
        <f t="shared" si="81"/>
        <v>0</v>
      </c>
      <c r="AQ259" s="224">
        <f t="shared" si="81"/>
        <v>0</v>
      </c>
      <c r="AR259" s="224">
        <f t="shared" si="81"/>
        <v>0</v>
      </c>
      <c r="AS259" s="224">
        <f t="shared" si="81"/>
        <v>0</v>
      </c>
    </row>
    <row r="260" spans="1:45" hidden="1" outlineLevel="2">
      <c r="B260" s="9" t="str">
        <f>'Input - Option 2 Detailed Input'!$C$166</f>
        <v xml:space="preserve">Costs associated with standpipes </v>
      </c>
      <c r="C260" s="44">
        <f>'Input - Option 2 Detailed Input'!H292</f>
        <v>0</v>
      </c>
      <c r="H260" s="343">
        <f t="shared" si="78"/>
        <v>0</v>
      </c>
      <c r="I260" s="211"/>
      <c r="J260" s="224">
        <f t="shared" si="80"/>
        <v>0</v>
      </c>
      <c r="K260" s="224">
        <f t="shared" si="81"/>
        <v>0</v>
      </c>
      <c r="L260" s="224">
        <f t="shared" si="81"/>
        <v>0</v>
      </c>
      <c r="M260" s="224">
        <f t="shared" si="81"/>
        <v>0</v>
      </c>
      <c r="N260" s="224">
        <f t="shared" si="81"/>
        <v>0</v>
      </c>
      <c r="O260" s="224">
        <f t="shared" si="81"/>
        <v>0</v>
      </c>
      <c r="P260" s="224">
        <f t="shared" si="81"/>
        <v>0</v>
      </c>
      <c r="Q260" s="224">
        <f t="shared" si="81"/>
        <v>0</v>
      </c>
      <c r="R260" s="224">
        <f t="shared" si="81"/>
        <v>0</v>
      </c>
      <c r="S260" s="224">
        <f t="shared" si="81"/>
        <v>0</v>
      </c>
      <c r="T260" s="224">
        <f t="shared" si="81"/>
        <v>0</v>
      </c>
      <c r="U260" s="224">
        <f t="shared" si="81"/>
        <v>0</v>
      </c>
      <c r="V260" s="224">
        <f t="shared" si="81"/>
        <v>0</v>
      </c>
      <c r="W260" s="224">
        <f t="shared" si="81"/>
        <v>0</v>
      </c>
      <c r="X260" s="224">
        <f t="shared" si="81"/>
        <v>0</v>
      </c>
      <c r="Y260" s="224">
        <f t="shared" si="81"/>
        <v>0</v>
      </c>
      <c r="Z260" s="224">
        <f t="shared" si="81"/>
        <v>0</v>
      </c>
      <c r="AA260" s="224">
        <f t="shared" si="81"/>
        <v>0</v>
      </c>
      <c r="AB260" s="224">
        <f t="shared" si="81"/>
        <v>0</v>
      </c>
      <c r="AC260" s="224">
        <f t="shared" si="81"/>
        <v>0</v>
      </c>
      <c r="AD260" s="224">
        <f t="shared" si="81"/>
        <v>0</v>
      </c>
      <c r="AE260" s="224">
        <f t="shared" si="81"/>
        <v>0</v>
      </c>
      <c r="AF260" s="224">
        <f t="shared" si="81"/>
        <v>0</v>
      </c>
      <c r="AG260" s="224">
        <f t="shared" si="81"/>
        <v>0</v>
      </c>
      <c r="AH260" s="224">
        <f t="shared" si="81"/>
        <v>0</v>
      </c>
      <c r="AI260" s="224">
        <f t="shared" si="81"/>
        <v>0</v>
      </c>
      <c r="AJ260" s="224">
        <f t="shared" si="81"/>
        <v>0</v>
      </c>
      <c r="AK260" s="224">
        <f t="shared" si="81"/>
        <v>0</v>
      </c>
      <c r="AL260" s="224">
        <f t="shared" si="81"/>
        <v>0</v>
      </c>
      <c r="AM260" s="224">
        <f t="shared" si="81"/>
        <v>0</v>
      </c>
      <c r="AN260" s="224">
        <f t="shared" si="81"/>
        <v>0</v>
      </c>
      <c r="AO260" s="224">
        <f t="shared" si="81"/>
        <v>0</v>
      </c>
      <c r="AP260" s="224">
        <f t="shared" si="81"/>
        <v>0</v>
      </c>
      <c r="AQ260" s="224">
        <f t="shared" si="81"/>
        <v>0</v>
      </c>
      <c r="AR260" s="224">
        <f t="shared" si="81"/>
        <v>0</v>
      </c>
      <c r="AS260" s="224">
        <f t="shared" si="81"/>
        <v>0</v>
      </c>
    </row>
    <row r="261" spans="1:45" hidden="1" outlineLevel="2">
      <c r="H261" s="343"/>
      <c r="I261" s="213"/>
      <c r="J261" s="224"/>
      <c r="K261" s="224"/>
      <c r="L261" s="224"/>
      <c r="M261" s="224"/>
      <c r="N261" s="224"/>
      <c r="O261" s="224"/>
      <c r="P261" s="224"/>
      <c r="Q261" s="224"/>
      <c r="R261" s="224"/>
      <c r="S261" s="224"/>
      <c r="T261" s="224"/>
      <c r="U261" s="224"/>
      <c r="V261" s="224"/>
      <c r="W261" s="224"/>
      <c r="X261" s="224"/>
      <c r="Y261" s="224"/>
      <c r="Z261" s="224"/>
      <c r="AA261" s="224"/>
      <c r="AB261" s="224"/>
      <c r="AC261" s="224"/>
      <c r="AD261" s="224"/>
      <c r="AE261" s="224"/>
      <c r="AF261" s="224"/>
      <c r="AG261" s="224"/>
      <c r="AH261" s="224"/>
      <c r="AI261" s="224"/>
      <c r="AJ261" s="224"/>
      <c r="AK261" s="224"/>
      <c r="AL261" s="224"/>
      <c r="AM261" s="224"/>
      <c r="AN261" s="224"/>
      <c r="AO261" s="224"/>
      <c r="AP261" s="224"/>
      <c r="AQ261" s="224"/>
      <c r="AR261" s="224"/>
      <c r="AS261" s="224"/>
    </row>
    <row r="262" spans="1:45" hidden="1" outlineLevel="2">
      <c r="B262" s="103" t="str">
        <f>'Input - Option 2 Detailed Input'!C294</f>
        <v>Year 7 - Additional Costs</v>
      </c>
      <c r="C262" s="25" t="str">
        <f>'Input - Option 2 Detailed Input'!G294</f>
        <v>Total Costs (per visit)</v>
      </c>
      <c r="H262" s="343"/>
      <c r="I262" s="213"/>
      <c r="J262" s="224"/>
      <c r="K262" s="224"/>
      <c r="L262" s="224"/>
      <c r="M262" s="224"/>
      <c r="N262" s="224"/>
      <c r="O262" s="224"/>
      <c r="P262" s="224"/>
      <c r="Q262" s="224"/>
      <c r="R262" s="224"/>
      <c r="S262" s="224"/>
      <c r="T262" s="224"/>
      <c r="U262" s="224"/>
      <c r="V262" s="224"/>
      <c r="W262" s="224"/>
      <c r="X262" s="224"/>
      <c r="Y262" s="224"/>
      <c r="Z262" s="224"/>
      <c r="AA262" s="224"/>
      <c r="AB262" s="224"/>
      <c r="AC262" s="224"/>
      <c r="AD262" s="224"/>
      <c r="AE262" s="224"/>
      <c r="AF262" s="224"/>
      <c r="AG262" s="224"/>
      <c r="AH262" s="224"/>
      <c r="AI262" s="224"/>
      <c r="AJ262" s="224"/>
      <c r="AK262" s="224"/>
      <c r="AL262" s="224"/>
      <c r="AM262" s="224"/>
      <c r="AN262" s="224"/>
      <c r="AO262" s="224"/>
      <c r="AP262" s="224"/>
      <c r="AQ262" s="224"/>
      <c r="AR262" s="224"/>
      <c r="AS262" s="224"/>
    </row>
    <row r="263" spans="1:45" hidden="1" outlineLevel="2">
      <c r="B263" s="9" t="str">
        <f>'Input - Option 2 Detailed Input'!C295</f>
        <v xml:space="preserve">[Additional costs #1] </v>
      </c>
      <c r="C263" s="44">
        <f>'Input - Option 2 Detailed Input'!G295</f>
        <v>0</v>
      </c>
      <c r="H263" s="343">
        <f>SUM(J263:EJ263)</f>
        <v>0</v>
      </c>
      <c r="I263" s="211"/>
      <c r="J263" s="224">
        <f>-IF((J$3=$D$250),($C263)*J$4,)</f>
        <v>0</v>
      </c>
      <c r="K263" s="224">
        <f t="shared" ref="K263:AS267" si="82">-IF((K$3=$D$250),($C263)*K$4,)</f>
        <v>0</v>
      </c>
      <c r="L263" s="224">
        <f t="shared" si="82"/>
        <v>0</v>
      </c>
      <c r="M263" s="224">
        <f t="shared" si="82"/>
        <v>0</v>
      </c>
      <c r="N263" s="224">
        <f t="shared" si="82"/>
        <v>0</v>
      </c>
      <c r="O263" s="224">
        <f t="shared" si="82"/>
        <v>0</v>
      </c>
      <c r="P263" s="224">
        <f t="shared" si="82"/>
        <v>0</v>
      </c>
      <c r="Q263" s="224">
        <f t="shared" si="82"/>
        <v>0</v>
      </c>
      <c r="R263" s="224">
        <f t="shared" si="82"/>
        <v>0</v>
      </c>
      <c r="S263" s="224">
        <f t="shared" si="82"/>
        <v>0</v>
      </c>
      <c r="T263" s="224">
        <f t="shared" si="82"/>
        <v>0</v>
      </c>
      <c r="U263" s="224">
        <f t="shared" si="82"/>
        <v>0</v>
      </c>
      <c r="V263" s="224">
        <f t="shared" si="82"/>
        <v>0</v>
      </c>
      <c r="W263" s="224">
        <f t="shared" si="82"/>
        <v>0</v>
      </c>
      <c r="X263" s="224">
        <f t="shared" si="82"/>
        <v>0</v>
      </c>
      <c r="Y263" s="224">
        <f t="shared" si="82"/>
        <v>0</v>
      </c>
      <c r="Z263" s="224">
        <f t="shared" si="82"/>
        <v>0</v>
      </c>
      <c r="AA263" s="224">
        <f t="shared" si="82"/>
        <v>0</v>
      </c>
      <c r="AB263" s="224">
        <f t="shared" si="82"/>
        <v>0</v>
      </c>
      <c r="AC263" s="224">
        <f t="shared" si="82"/>
        <v>0</v>
      </c>
      <c r="AD263" s="224">
        <f t="shared" si="82"/>
        <v>0</v>
      </c>
      <c r="AE263" s="224">
        <f t="shared" si="82"/>
        <v>0</v>
      </c>
      <c r="AF263" s="224">
        <f t="shared" si="82"/>
        <v>0</v>
      </c>
      <c r="AG263" s="224">
        <f t="shared" si="82"/>
        <v>0</v>
      </c>
      <c r="AH263" s="224">
        <f t="shared" si="82"/>
        <v>0</v>
      </c>
      <c r="AI263" s="224">
        <f t="shared" si="82"/>
        <v>0</v>
      </c>
      <c r="AJ263" s="224">
        <f t="shared" si="82"/>
        <v>0</v>
      </c>
      <c r="AK263" s="224">
        <f t="shared" si="82"/>
        <v>0</v>
      </c>
      <c r="AL263" s="224">
        <f t="shared" si="82"/>
        <v>0</v>
      </c>
      <c r="AM263" s="224">
        <f t="shared" si="82"/>
        <v>0</v>
      </c>
      <c r="AN263" s="224">
        <f t="shared" si="82"/>
        <v>0</v>
      </c>
      <c r="AO263" s="224">
        <f t="shared" si="82"/>
        <v>0</v>
      </c>
      <c r="AP263" s="224">
        <f t="shared" si="82"/>
        <v>0</v>
      </c>
      <c r="AQ263" s="224">
        <f t="shared" si="82"/>
        <v>0</v>
      </c>
      <c r="AR263" s="224">
        <f t="shared" si="82"/>
        <v>0</v>
      </c>
      <c r="AS263" s="224">
        <f t="shared" si="82"/>
        <v>0</v>
      </c>
    </row>
    <row r="264" spans="1:45" hidden="1" outlineLevel="2">
      <c r="B264" s="9" t="str">
        <f>'Input - Option 2 Detailed Input'!C296</f>
        <v>[Additional costs #2]</v>
      </c>
      <c r="C264" s="44">
        <f>'Input - Option 2 Detailed Input'!G296</f>
        <v>0</v>
      </c>
      <c r="H264" s="343">
        <f>SUM(J264:EJ264)</f>
        <v>0</v>
      </c>
      <c r="I264" s="211"/>
      <c r="J264" s="224">
        <f t="shared" ref="J264:Y267" si="83">-IF((J$3=$D$250),($C264)*J$4,)</f>
        <v>0</v>
      </c>
      <c r="K264" s="224">
        <f t="shared" si="83"/>
        <v>0</v>
      </c>
      <c r="L264" s="224">
        <f t="shared" si="83"/>
        <v>0</v>
      </c>
      <c r="M264" s="224">
        <f t="shared" si="83"/>
        <v>0</v>
      </c>
      <c r="N264" s="224">
        <f t="shared" si="83"/>
        <v>0</v>
      </c>
      <c r="O264" s="224">
        <f t="shared" si="83"/>
        <v>0</v>
      </c>
      <c r="P264" s="224">
        <f t="shared" si="83"/>
        <v>0</v>
      </c>
      <c r="Q264" s="224">
        <f t="shared" si="83"/>
        <v>0</v>
      </c>
      <c r="R264" s="224">
        <f t="shared" si="83"/>
        <v>0</v>
      </c>
      <c r="S264" s="224">
        <f t="shared" si="83"/>
        <v>0</v>
      </c>
      <c r="T264" s="224">
        <f t="shared" si="83"/>
        <v>0</v>
      </c>
      <c r="U264" s="224">
        <f t="shared" si="83"/>
        <v>0</v>
      </c>
      <c r="V264" s="224">
        <f t="shared" si="83"/>
        <v>0</v>
      </c>
      <c r="W264" s="224">
        <f t="shared" si="83"/>
        <v>0</v>
      </c>
      <c r="X264" s="224">
        <f t="shared" si="83"/>
        <v>0</v>
      </c>
      <c r="Y264" s="224">
        <f t="shared" si="83"/>
        <v>0</v>
      </c>
      <c r="Z264" s="224">
        <f t="shared" si="82"/>
        <v>0</v>
      </c>
      <c r="AA264" s="224">
        <f t="shared" si="82"/>
        <v>0</v>
      </c>
      <c r="AB264" s="224">
        <f t="shared" si="82"/>
        <v>0</v>
      </c>
      <c r="AC264" s="224">
        <f t="shared" si="82"/>
        <v>0</v>
      </c>
      <c r="AD264" s="224">
        <f t="shared" si="82"/>
        <v>0</v>
      </c>
      <c r="AE264" s="224">
        <f t="shared" si="82"/>
        <v>0</v>
      </c>
      <c r="AF264" s="224">
        <f t="shared" si="82"/>
        <v>0</v>
      </c>
      <c r="AG264" s="224">
        <f t="shared" si="82"/>
        <v>0</v>
      </c>
      <c r="AH264" s="224">
        <f t="shared" si="82"/>
        <v>0</v>
      </c>
      <c r="AI264" s="224">
        <f t="shared" si="82"/>
        <v>0</v>
      </c>
      <c r="AJ264" s="224">
        <f t="shared" si="82"/>
        <v>0</v>
      </c>
      <c r="AK264" s="224">
        <f t="shared" si="82"/>
        <v>0</v>
      </c>
      <c r="AL264" s="224">
        <f t="shared" si="82"/>
        <v>0</v>
      </c>
      <c r="AM264" s="224">
        <f t="shared" si="82"/>
        <v>0</v>
      </c>
      <c r="AN264" s="224">
        <f t="shared" si="82"/>
        <v>0</v>
      </c>
      <c r="AO264" s="224">
        <f t="shared" si="82"/>
        <v>0</v>
      </c>
      <c r="AP264" s="224">
        <f t="shared" si="82"/>
        <v>0</v>
      </c>
      <c r="AQ264" s="224">
        <f t="shared" si="82"/>
        <v>0</v>
      </c>
      <c r="AR264" s="224">
        <f t="shared" si="82"/>
        <v>0</v>
      </c>
      <c r="AS264" s="224">
        <f t="shared" si="82"/>
        <v>0</v>
      </c>
    </row>
    <row r="265" spans="1:45" hidden="1" outlineLevel="2">
      <c r="B265" s="9" t="str">
        <f>'Input - Option 2 Detailed Input'!C297</f>
        <v xml:space="preserve">[Additional costs #3] </v>
      </c>
      <c r="C265" s="44">
        <f>'Input - Option 2 Detailed Input'!G297</f>
        <v>0</v>
      </c>
      <c r="H265" s="343">
        <f>SUM(J265:EJ265)</f>
        <v>0</v>
      </c>
      <c r="I265" s="211"/>
      <c r="J265" s="224">
        <f t="shared" si="83"/>
        <v>0</v>
      </c>
      <c r="K265" s="224">
        <f t="shared" si="82"/>
        <v>0</v>
      </c>
      <c r="L265" s="224">
        <f t="shared" si="82"/>
        <v>0</v>
      </c>
      <c r="M265" s="224">
        <f t="shared" si="82"/>
        <v>0</v>
      </c>
      <c r="N265" s="224">
        <f t="shared" si="82"/>
        <v>0</v>
      </c>
      <c r="O265" s="224">
        <f t="shared" si="82"/>
        <v>0</v>
      </c>
      <c r="P265" s="224">
        <f t="shared" si="82"/>
        <v>0</v>
      </c>
      <c r="Q265" s="224">
        <f t="shared" si="82"/>
        <v>0</v>
      </c>
      <c r="R265" s="224">
        <f t="shared" si="82"/>
        <v>0</v>
      </c>
      <c r="S265" s="224">
        <f t="shared" si="82"/>
        <v>0</v>
      </c>
      <c r="T265" s="224">
        <f t="shared" si="82"/>
        <v>0</v>
      </c>
      <c r="U265" s="224">
        <f t="shared" si="82"/>
        <v>0</v>
      </c>
      <c r="V265" s="224">
        <f t="shared" si="82"/>
        <v>0</v>
      </c>
      <c r="W265" s="224">
        <f t="shared" si="82"/>
        <v>0</v>
      </c>
      <c r="X265" s="224">
        <f t="shared" si="82"/>
        <v>0</v>
      </c>
      <c r="Y265" s="224">
        <f t="shared" si="82"/>
        <v>0</v>
      </c>
      <c r="Z265" s="224">
        <f t="shared" si="82"/>
        <v>0</v>
      </c>
      <c r="AA265" s="224">
        <f t="shared" si="82"/>
        <v>0</v>
      </c>
      <c r="AB265" s="224">
        <f t="shared" si="82"/>
        <v>0</v>
      </c>
      <c r="AC265" s="224">
        <f t="shared" si="82"/>
        <v>0</v>
      </c>
      <c r="AD265" s="224">
        <f t="shared" si="82"/>
        <v>0</v>
      </c>
      <c r="AE265" s="224">
        <f t="shared" si="82"/>
        <v>0</v>
      </c>
      <c r="AF265" s="224">
        <f t="shared" si="82"/>
        <v>0</v>
      </c>
      <c r="AG265" s="224">
        <f t="shared" si="82"/>
        <v>0</v>
      </c>
      <c r="AH265" s="224">
        <f t="shared" si="82"/>
        <v>0</v>
      </c>
      <c r="AI265" s="224">
        <f t="shared" si="82"/>
        <v>0</v>
      </c>
      <c r="AJ265" s="224">
        <f t="shared" si="82"/>
        <v>0</v>
      </c>
      <c r="AK265" s="224">
        <f t="shared" si="82"/>
        <v>0</v>
      </c>
      <c r="AL265" s="224">
        <f t="shared" si="82"/>
        <v>0</v>
      </c>
      <c r="AM265" s="224">
        <f t="shared" si="82"/>
        <v>0</v>
      </c>
      <c r="AN265" s="224">
        <f t="shared" si="82"/>
        <v>0</v>
      </c>
      <c r="AO265" s="224">
        <f t="shared" si="82"/>
        <v>0</v>
      </c>
      <c r="AP265" s="224">
        <f t="shared" si="82"/>
        <v>0</v>
      </c>
      <c r="AQ265" s="224">
        <f t="shared" si="82"/>
        <v>0</v>
      </c>
      <c r="AR265" s="224">
        <f t="shared" si="82"/>
        <v>0</v>
      </c>
      <c r="AS265" s="224">
        <f t="shared" si="82"/>
        <v>0</v>
      </c>
    </row>
    <row r="266" spans="1:45" hidden="1" outlineLevel="2">
      <c r="B266" s="9" t="str">
        <f>'Input - Option 2 Detailed Input'!C298</f>
        <v>[Additional costs #4]</v>
      </c>
      <c r="C266" s="44">
        <f>'Input - Option 2 Detailed Input'!G298</f>
        <v>0</v>
      </c>
      <c r="H266" s="343">
        <f>SUM(J266:EJ266)</f>
        <v>0</v>
      </c>
      <c r="I266" s="211"/>
      <c r="J266" s="224">
        <f t="shared" si="83"/>
        <v>0</v>
      </c>
      <c r="K266" s="224">
        <f t="shared" si="82"/>
        <v>0</v>
      </c>
      <c r="L266" s="224">
        <f t="shared" si="82"/>
        <v>0</v>
      </c>
      <c r="M266" s="224">
        <f t="shared" si="82"/>
        <v>0</v>
      </c>
      <c r="N266" s="224">
        <f t="shared" si="82"/>
        <v>0</v>
      </c>
      <c r="O266" s="224">
        <f t="shared" si="82"/>
        <v>0</v>
      </c>
      <c r="P266" s="224">
        <f t="shared" si="82"/>
        <v>0</v>
      </c>
      <c r="Q266" s="224">
        <f t="shared" si="82"/>
        <v>0</v>
      </c>
      <c r="R266" s="224">
        <f t="shared" si="82"/>
        <v>0</v>
      </c>
      <c r="S266" s="224">
        <f t="shared" si="82"/>
        <v>0</v>
      </c>
      <c r="T266" s="224">
        <f t="shared" si="82"/>
        <v>0</v>
      </c>
      <c r="U266" s="224">
        <f t="shared" si="82"/>
        <v>0</v>
      </c>
      <c r="V266" s="224">
        <f t="shared" si="82"/>
        <v>0</v>
      </c>
      <c r="W266" s="224">
        <f t="shared" si="82"/>
        <v>0</v>
      </c>
      <c r="X266" s="224">
        <f t="shared" si="82"/>
        <v>0</v>
      </c>
      <c r="Y266" s="224">
        <f t="shared" si="82"/>
        <v>0</v>
      </c>
      <c r="Z266" s="224">
        <f t="shared" si="82"/>
        <v>0</v>
      </c>
      <c r="AA266" s="224">
        <f t="shared" si="82"/>
        <v>0</v>
      </c>
      <c r="AB266" s="224">
        <f t="shared" si="82"/>
        <v>0</v>
      </c>
      <c r="AC266" s="224">
        <f t="shared" si="82"/>
        <v>0</v>
      </c>
      <c r="AD266" s="224">
        <f t="shared" si="82"/>
        <v>0</v>
      </c>
      <c r="AE266" s="224">
        <f t="shared" si="82"/>
        <v>0</v>
      </c>
      <c r="AF266" s="224">
        <f t="shared" si="82"/>
        <v>0</v>
      </c>
      <c r="AG266" s="224">
        <f t="shared" si="82"/>
        <v>0</v>
      </c>
      <c r="AH266" s="224">
        <f t="shared" si="82"/>
        <v>0</v>
      </c>
      <c r="AI266" s="224">
        <f t="shared" si="82"/>
        <v>0</v>
      </c>
      <c r="AJ266" s="224">
        <f t="shared" si="82"/>
        <v>0</v>
      </c>
      <c r="AK266" s="224">
        <f t="shared" si="82"/>
        <v>0</v>
      </c>
      <c r="AL266" s="224">
        <f t="shared" si="82"/>
        <v>0</v>
      </c>
      <c r="AM266" s="224">
        <f t="shared" si="82"/>
        <v>0</v>
      </c>
      <c r="AN266" s="224">
        <f t="shared" si="82"/>
        <v>0</v>
      </c>
      <c r="AO266" s="224">
        <f t="shared" si="82"/>
        <v>0</v>
      </c>
      <c r="AP266" s="224">
        <f t="shared" si="82"/>
        <v>0</v>
      </c>
      <c r="AQ266" s="224">
        <f t="shared" si="82"/>
        <v>0</v>
      </c>
      <c r="AR266" s="224">
        <f t="shared" si="82"/>
        <v>0</v>
      </c>
      <c r="AS266" s="224">
        <f t="shared" si="82"/>
        <v>0</v>
      </c>
    </row>
    <row r="267" spans="1:45" hidden="1" outlineLevel="2">
      <c r="B267" s="9" t="str">
        <f>'Input - Option 2 Detailed Input'!C299</f>
        <v xml:space="preserve">[Additional costs #5] </v>
      </c>
      <c r="C267" s="44">
        <f>'Input - Option 2 Detailed Input'!G299</f>
        <v>0</v>
      </c>
      <c r="H267" s="343">
        <f>SUM(J267:EJ267)</f>
        <v>0</v>
      </c>
      <c r="I267" s="211"/>
      <c r="J267" s="224">
        <f t="shared" si="83"/>
        <v>0</v>
      </c>
      <c r="K267" s="224">
        <f t="shared" si="82"/>
        <v>0</v>
      </c>
      <c r="L267" s="224">
        <f t="shared" si="82"/>
        <v>0</v>
      </c>
      <c r="M267" s="224">
        <f t="shared" si="82"/>
        <v>0</v>
      </c>
      <c r="N267" s="224">
        <f t="shared" si="82"/>
        <v>0</v>
      </c>
      <c r="O267" s="224">
        <f t="shared" si="82"/>
        <v>0</v>
      </c>
      <c r="P267" s="224">
        <f t="shared" si="82"/>
        <v>0</v>
      </c>
      <c r="Q267" s="224">
        <f t="shared" si="82"/>
        <v>0</v>
      </c>
      <c r="R267" s="224">
        <f t="shared" si="82"/>
        <v>0</v>
      </c>
      <c r="S267" s="224">
        <f t="shared" si="82"/>
        <v>0</v>
      </c>
      <c r="T267" s="224">
        <f t="shared" si="82"/>
        <v>0</v>
      </c>
      <c r="U267" s="224">
        <f t="shared" si="82"/>
        <v>0</v>
      </c>
      <c r="V267" s="224">
        <f t="shared" si="82"/>
        <v>0</v>
      </c>
      <c r="W267" s="224">
        <f t="shared" si="82"/>
        <v>0</v>
      </c>
      <c r="X267" s="224">
        <f t="shared" si="82"/>
        <v>0</v>
      </c>
      <c r="Y267" s="224">
        <f t="shared" si="82"/>
        <v>0</v>
      </c>
      <c r="Z267" s="224">
        <f t="shared" si="82"/>
        <v>0</v>
      </c>
      <c r="AA267" s="224">
        <f t="shared" si="82"/>
        <v>0</v>
      </c>
      <c r="AB267" s="224">
        <f t="shared" si="82"/>
        <v>0</v>
      </c>
      <c r="AC267" s="224">
        <f t="shared" si="82"/>
        <v>0</v>
      </c>
      <c r="AD267" s="224">
        <f t="shared" si="82"/>
        <v>0</v>
      </c>
      <c r="AE267" s="224">
        <f t="shared" si="82"/>
        <v>0</v>
      </c>
      <c r="AF267" s="224">
        <f t="shared" si="82"/>
        <v>0</v>
      </c>
      <c r="AG267" s="224">
        <f t="shared" si="82"/>
        <v>0</v>
      </c>
      <c r="AH267" s="224">
        <f t="shared" si="82"/>
        <v>0</v>
      </c>
      <c r="AI267" s="224">
        <f t="shared" si="82"/>
        <v>0</v>
      </c>
      <c r="AJ267" s="224">
        <f t="shared" si="82"/>
        <v>0</v>
      </c>
      <c r="AK267" s="224">
        <f t="shared" si="82"/>
        <v>0</v>
      </c>
      <c r="AL267" s="224">
        <f t="shared" si="82"/>
        <v>0</v>
      </c>
      <c r="AM267" s="224">
        <f t="shared" si="82"/>
        <v>0</v>
      </c>
      <c r="AN267" s="224">
        <f t="shared" si="82"/>
        <v>0</v>
      </c>
      <c r="AO267" s="224">
        <f t="shared" si="82"/>
        <v>0</v>
      </c>
      <c r="AP267" s="224">
        <f t="shared" si="82"/>
        <v>0</v>
      </c>
      <c r="AQ267" s="224">
        <f t="shared" si="82"/>
        <v>0</v>
      </c>
      <c r="AR267" s="224">
        <f t="shared" si="82"/>
        <v>0</v>
      </c>
      <c r="AS267" s="224">
        <f t="shared" si="82"/>
        <v>0</v>
      </c>
    </row>
    <row r="268" spans="1:45" hidden="1" outlineLevel="2">
      <c r="H268" s="35"/>
      <c r="I268" s="213"/>
      <c r="J268" s="224"/>
    </row>
    <row r="269" spans="1:45" hidden="1" outlineLevel="2">
      <c r="A269" s="15"/>
      <c r="B269" s="16" t="s">
        <v>316</v>
      </c>
      <c r="C269" s="12"/>
      <c r="D269" s="12"/>
      <c r="E269" s="12"/>
      <c r="F269" s="12"/>
      <c r="G269" s="12"/>
      <c r="H269" s="259">
        <f>SUM(H263:H267,H251:H260)</f>
        <v>0</v>
      </c>
      <c r="I269" s="215"/>
      <c r="J269" s="225">
        <f>SUM(J250:J260,J263:J267)</f>
        <v>0</v>
      </c>
      <c r="K269" s="225">
        <f t="shared" ref="K269:AS269" si="84">SUM(K250:K260,K263:K267)</f>
        <v>0</v>
      </c>
      <c r="L269" s="225">
        <f t="shared" si="84"/>
        <v>0</v>
      </c>
      <c r="M269" s="225">
        <f t="shared" si="84"/>
        <v>0</v>
      </c>
      <c r="N269" s="225">
        <f t="shared" si="84"/>
        <v>0</v>
      </c>
      <c r="O269" s="225">
        <f t="shared" si="84"/>
        <v>0</v>
      </c>
      <c r="P269" s="225">
        <f t="shared" si="84"/>
        <v>0</v>
      </c>
      <c r="Q269" s="225">
        <f t="shared" si="84"/>
        <v>0</v>
      </c>
      <c r="R269" s="225">
        <f t="shared" si="84"/>
        <v>0</v>
      </c>
      <c r="S269" s="225">
        <f t="shared" si="84"/>
        <v>0</v>
      </c>
      <c r="T269" s="225">
        <f t="shared" si="84"/>
        <v>0</v>
      </c>
      <c r="U269" s="225">
        <f t="shared" si="84"/>
        <v>0</v>
      </c>
      <c r="V269" s="225">
        <f t="shared" si="84"/>
        <v>0</v>
      </c>
      <c r="W269" s="225">
        <f t="shared" si="84"/>
        <v>0</v>
      </c>
      <c r="X269" s="225">
        <f t="shared" si="84"/>
        <v>0</v>
      </c>
      <c r="Y269" s="225">
        <f t="shared" si="84"/>
        <v>0</v>
      </c>
      <c r="Z269" s="225">
        <f t="shared" si="84"/>
        <v>0</v>
      </c>
      <c r="AA269" s="225">
        <f t="shared" si="84"/>
        <v>0</v>
      </c>
      <c r="AB269" s="225">
        <f t="shared" si="84"/>
        <v>0</v>
      </c>
      <c r="AC269" s="225">
        <f t="shared" si="84"/>
        <v>0</v>
      </c>
      <c r="AD269" s="225">
        <f t="shared" si="84"/>
        <v>0</v>
      </c>
      <c r="AE269" s="225">
        <f t="shared" si="84"/>
        <v>0</v>
      </c>
      <c r="AF269" s="225">
        <f t="shared" si="84"/>
        <v>0</v>
      </c>
      <c r="AG269" s="225">
        <f t="shared" si="84"/>
        <v>0</v>
      </c>
      <c r="AH269" s="225">
        <f t="shared" si="84"/>
        <v>0</v>
      </c>
      <c r="AI269" s="225">
        <f t="shared" si="84"/>
        <v>0</v>
      </c>
      <c r="AJ269" s="225">
        <f t="shared" si="84"/>
        <v>0</v>
      </c>
      <c r="AK269" s="225">
        <f t="shared" si="84"/>
        <v>0</v>
      </c>
      <c r="AL269" s="225">
        <f t="shared" si="84"/>
        <v>0</v>
      </c>
      <c r="AM269" s="225">
        <f t="shared" si="84"/>
        <v>0</v>
      </c>
      <c r="AN269" s="225">
        <f t="shared" si="84"/>
        <v>0</v>
      </c>
      <c r="AO269" s="225">
        <f t="shared" si="84"/>
        <v>0</v>
      </c>
      <c r="AP269" s="225">
        <f t="shared" si="84"/>
        <v>0</v>
      </c>
      <c r="AQ269" s="225">
        <f t="shared" si="84"/>
        <v>0</v>
      </c>
      <c r="AR269" s="225">
        <f t="shared" si="84"/>
        <v>0</v>
      </c>
      <c r="AS269" s="225">
        <f t="shared" si="84"/>
        <v>0</v>
      </c>
    </row>
    <row r="270" spans="1:45" hidden="1" outlineLevel="2">
      <c r="H270" s="35"/>
      <c r="I270" s="213"/>
    </row>
    <row r="271" spans="1:45" hidden="1" outlineLevel="2">
      <c r="B271" s="103" t="str">
        <f>'Input - Option 2 Detailed Input'!C301</f>
        <v>Year 8 of establishment and maintenance</v>
      </c>
      <c r="C271" s="25" t="str">
        <f>'Input - Option 2 Detailed Input'!H302</f>
        <v>Total Costs (per visit)</v>
      </c>
      <c r="D271" s="39">
        <f>IF($C$3=$C$4,'Input - Option 2 Detailed Input'!D301,)</f>
        <v>0</v>
      </c>
      <c r="H271" s="35"/>
      <c r="I271" s="213"/>
    </row>
    <row r="272" spans="1:45" hidden="1" outlineLevel="2">
      <c r="B272" s="9" t="str">
        <f>'Input - Option 2 Detailed Input'!$C$156</f>
        <v>Recuring unitary maintenance visits (e.g. watering, mulching, etc.)</v>
      </c>
      <c r="C272" s="44">
        <f>'Input - Option 2 Detailed Input'!H303</f>
        <v>0</v>
      </c>
      <c r="H272" s="343">
        <f t="shared" ref="H272:H281" si="85">SUM(J272:EJ272)</f>
        <v>0</v>
      </c>
      <c r="I272" s="211"/>
      <c r="J272" s="224">
        <f>-IF((J$3=$D$271),($C272)*J$4,)</f>
        <v>0</v>
      </c>
      <c r="K272" s="224">
        <f t="shared" ref="K272:AS279" si="86">-IF((K$3=$D$271),($C272)*K$4,)</f>
        <v>0</v>
      </c>
      <c r="L272" s="224">
        <f t="shared" si="86"/>
        <v>0</v>
      </c>
      <c r="M272" s="224">
        <f t="shared" si="86"/>
        <v>0</v>
      </c>
      <c r="N272" s="224">
        <f t="shared" si="86"/>
        <v>0</v>
      </c>
      <c r="O272" s="224">
        <f t="shared" si="86"/>
        <v>0</v>
      </c>
      <c r="P272" s="224">
        <f t="shared" si="86"/>
        <v>0</v>
      </c>
      <c r="Q272" s="224">
        <f t="shared" si="86"/>
        <v>0</v>
      </c>
      <c r="R272" s="224">
        <f t="shared" si="86"/>
        <v>0</v>
      </c>
      <c r="S272" s="224">
        <f t="shared" si="86"/>
        <v>0</v>
      </c>
      <c r="T272" s="224">
        <f t="shared" si="86"/>
        <v>0</v>
      </c>
      <c r="U272" s="224">
        <f t="shared" si="86"/>
        <v>0</v>
      </c>
      <c r="V272" s="224">
        <f t="shared" si="86"/>
        <v>0</v>
      </c>
      <c r="W272" s="224">
        <f t="shared" si="86"/>
        <v>0</v>
      </c>
      <c r="X272" s="224">
        <f t="shared" si="86"/>
        <v>0</v>
      </c>
      <c r="Y272" s="224">
        <f t="shared" si="86"/>
        <v>0</v>
      </c>
      <c r="Z272" s="224">
        <f t="shared" si="86"/>
        <v>0</v>
      </c>
      <c r="AA272" s="224">
        <f t="shared" si="86"/>
        <v>0</v>
      </c>
      <c r="AB272" s="224">
        <f t="shared" si="86"/>
        <v>0</v>
      </c>
      <c r="AC272" s="224">
        <f t="shared" si="86"/>
        <v>0</v>
      </c>
      <c r="AD272" s="224">
        <f t="shared" si="86"/>
        <v>0</v>
      </c>
      <c r="AE272" s="224">
        <f t="shared" si="86"/>
        <v>0</v>
      </c>
      <c r="AF272" s="224">
        <f t="shared" si="86"/>
        <v>0</v>
      </c>
      <c r="AG272" s="224">
        <f t="shared" si="86"/>
        <v>0</v>
      </c>
      <c r="AH272" s="224">
        <f t="shared" si="86"/>
        <v>0</v>
      </c>
      <c r="AI272" s="224">
        <f t="shared" si="86"/>
        <v>0</v>
      </c>
      <c r="AJ272" s="224">
        <f t="shared" si="86"/>
        <v>0</v>
      </c>
      <c r="AK272" s="224">
        <f t="shared" si="86"/>
        <v>0</v>
      </c>
      <c r="AL272" s="224">
        <f t="shared" si="86"/>
        <v>0</v>
      </c>
      <c r="AM272" s="224">
        <f t="shared" si="86"/>
        <v>0</v>
      </c>
      <c r="AN272" s="224">
        <f t="shared" si="86"/>
        <v>0</v>
      </c>
      <c r="AO272" s="224">
        <f t="shared" si="86"/>
        <v>0</v>
      </c>
      <c r="AP272" s="224">
        <f t="shared" si="86"/>
        <v>0</v>
      </c>
      <c r="AQ272" s="224">
        <f t="shared" si="86"/>
        <v>0</v>
      </c>
      <c r="AR272" s="224">
        <f t="shared" si="86"/>
        <v>0</v>
      </c>
      <c r="AS272" s="224">
        <f t="shared" si="86"/>
        <v>0</v>
      </c>
    </row>
    <row r="273" spans="2:45" hidden="1" outlineLevel="2">
      <c r="B273" s="9" t="str">
        <f>'Input - Option 2 Detailed Input'!$C$158</f>
        <v>Establishment checks (including collection, collation, interpretation and sharing of consistent tree establishment data )</v>
      </c>
      <c r="C273" s="44">
        <f>'Input - Option 2 Detailed Input'!H305</f>
        <v>0</v>
      </c>
      <c r="H273" s="343">
        <f t="shared" si="85"/>
        <v>0</v>
      </c>
      <c r="I273" s="211"/>
      <c r="J273" s="224">
        <f t="shared" ref="J273:Y281" si="87">-IF((J$3=$D$271),($C273)*J$4,)</f>
        <v>0</v>
      </c>
      <c r="K273" s="224">
        <f t="shared" si="87"/>
        <v>0</v>
      </c>
      <c r="L273" s="224">
        <f t="shared" si="87"/>
        <v>0</v>
      </c>
      <c r="M273" s="224">
        <f t="shared" si="87"/>
        <v>0</v>
      </c>
      <c r="N273" s="224">
        <f t="shared" si="87"/>
        <v>0</v>
      </c>
      <c r="O273" s="224">
        <f t="shared" si="87"/>
        <v>0</v>
      </c>
      <c r="P273" s="224">
        <f t="shared" si="87"/>
        <v>0</v>
      </c>
      <c r="Q273" s="224">
        <f t="shared" si="87"/>
        <v>0</v>
      </c>
      <c r="R273" s="224">
        <f t="shared" si="87"/>
        <v>0</v>
      </c>
      <c r="S273" s="224">
        <f t="shared" si="87"/>
        <v>0</v>
      </c>
      <c r="T273" s="224">
        <f t="shared" si="87"/>
        <v>0</v>
      </c>
      <c r="U273" s="224">
        <f t="shared" si="87"/>
        <v>0</v>
      </c>
      <c r="V273" s="224">
        <f t="shared" si="87"/>
        <v>0</v>
      </c>
      <c r="W273" s="224">
        <f t="shared" si="87"/>
        <v>0</v>
      </c>
      <c r="X273" s="224">
        <f t="shared" si="87"/>
        <v>0</v>
      </c>
      <c r="Y273" s="224">
        <f t="shared" si="87"/>
        <v>0</v>
      </c>
      <c r="Z273" s="224">
        <f t="shared" si="86"/>
        <v>0</v>
      </c>
      <c r="AA273" s="224">
        <f t="shared" si="86"/>
        <v>0</v>
      </c>
      <c r="AB273" s="224">
        <f t="shared" si="86"/>
        <v>0</v>
      </c>
      <c r="AC273" s="224">
        <f t="shared" si="86"/>
        <v>0</v>
      </c>
      <c r="AD273" s="224">
        <f t="shared" si="86"/>
        <v>0</v>
      </c>
      <c r="AE273" s="224">
        <f t="shared" si="86"/>
        <v>0</v>
      </c>
      <c r="AF273" s="224">
        <f t="shared" si="86"/>
        <v>0</v>
      </c>
      <c r="AG273" s="224">
        <f t="shared" si="86"/>
        <v>0</v>
      </c>
      <c r="AH273" s="224">
        <f t="shared" si="86"/>
        <v>0</v>
      </c>
      <c r="AI273" s="224">
        <f t="shared" si="86"/>
        <v>0</v>
      </c>
      <c r="AJ273" s="224">
        <f t="shared" si="86"/>
        <v>0</v>
      </c>
      <c r="AK273" s="224">
        <f t="shared" si="86"/>
        <v>0</v>
      </c>
      <c r="AL273" s="224">
        <f t="shared" si="86"/>
        <v>0</v>
      </c>
      <c r="AM273" s="224">
        <f t="shared" si="86"/>
        <v>0</v>
      </c>
      <c r="AN273" s="224">
        <f t="shared" si="86"/>
        <v>0</v>
      </c>
      <c r="AO273" s="224">
        <f t="shared" si="86"/>
        <v>0</v>
      </c>
      <c r="AP273" s="224">
        <f t="shared" si="86"/>
        <v>0</v>
      </c>
      <c r="AQ273" s="224">
        <f t="shared" si="86"/>
        <v>0</v>
      </c>
      <c r="AR273" s="224">
        <f t="shared" si="86"/>
        <v>0</v>
      </c>
      <c r="AS273" s="224">
        <f t="shared" si="86"/>
        <v>0</v>
      </c>
    </row>
    <row r="274" spans="2:45" hidden="1" outlineLevel="2">
      <c r="B274" s="9" t="str">
        <f>'Input - Option 2 Detailed Input'!$C$159</f>
        <v>Maintenance, removal and/or disposal of (where relevant) stakes, ties, and guard, grills, concrete rings, base surrounds, tree protection, etc.</v>
      </c>
      <c r="C274" s="44">
        <f>'Input - Option 2 Detailed Input'!H306</f>
        <v>0</v>
      </c>
      <c r="H274" s="343">
        <f t="shared" si="85"/>
        <v>0</v>
      </c>
      <c r="I274" s="211"/>
      <c r="J274" s="224">
        <f t="shared" si="87"/>
        <v>0</v>
      </c>
      <c r="K274" s="224">
        <f t="shared" si="86"/>
        <v>0</v>
      </c>
      <c r="L274" s="224">
        <f t="shared" si="86"/>
        <v>0</v>
      </c>
      <c r="M274" s="224">
        <f t="shared" si="86"/>
        <v>0</v>
      </c>
      <c r="N274" s="224">
        <f t="shared" si="86"/>
        <v>0</v>
      </c>
      <c r="O274" s="224">
        <f t="shared" si="86"/>
        <v>0</v>
      </c>
      <c r="P274" s="224">
        <f t="shared" si="86"/>
        <v>0</v>
      </c>
      <c r="Q274" s="224">
        <f t="shared" si="86"/>
        <v>0</v>
      </c>
      <c r="R274" s="224">
        <f t="shared" si="86"/>
        <v>0</v>
      </c>
      <c r="S274" s="224">
        <f t="shared" si="86"/>
        <v>0</v>
      </c>
      <c r="T274" s="224">
        <f t="shared" si="86"/>
        <v>0</v>
      </c>
      <c r="U274" s="224">
        <f t="shared" si="86"/>
        <v>0</v>
      </c>
      <c r="V274" s="224">
        <f t="shared" si="86"/>
        <v>0</v>
      </c>
      <c r="W274" s="224">
        <f t="shared" si="86"/>
        <v>0</v>
      </c>
      <c r="X274" s="224">
        <f t="shared" si="86"/>
        <v>0</v>
      </c>
      <c r="Y274" s="224">
        <f t="shared" si="86"/>
        <v>0</v>
      </c>
      <c r="Z274" s="224">
        <f t="shared" si="86"/>
        <v>0</v>
      </c>
      <c r="AA274" s="224">
        <f t="shared" si="86"/>
        <v>0</v>
      </c>
      <c r="AB274" s="224">
        <f t="shared" si="86"/>
        <v>0</v>
      </c>
      <c r="AC274" s="224">
        <f t="shared" si="86"/>
        <v>0</v>
      </c>
      <c r="AD274" s="224">
        <f t="shared" si="86"/>
        <v>0</v>
      </c>
      <c r="AE274" s="224">
        <f t="shared" si="86"/>
        <v>0</v>
      </c>
      <c r="AF274" s="224">
        <f t="shared" si="86"/>
        <v>0</v>
      </c>
      <c r="AG274" s="224">
        <f t="shared" si="86"/>
        <v>0</v>
      </c>
      <c r="AH274" s="224">
        <f t="shared" si="86"/>
        <v>0</v>
      </c>
      <c r="AI274" s="224">
        <f t="shared" si="86"/>
        <v>0</v>
      </c>
      <c r="AJ274" s="224">
        <f t="shared" si="86"/>
        <v>0</v>
      </c>
      <c r="AK274" s="224">
        <f t="shared" si="86"/>
        <v>0</v>
      </c>
      <c r="AL274" s="224">
        <f t="shared" si="86"/>
        <v>0</v>
      </c>
      <c r="AM274" s="224">
        <f t="shared" si="86"/>
        <v>0</v>
      </c>
      <c r="AN274" s="224">
        <f t="shared" si="86"/>
        <v>0</v>
      </c>
      <c r="AO274" s="224">
        <f t="shared" si="86"/>
        <v>0</v>
      </c>
      <c r="AP274" s="224">
        <f t="shared" si="86"/>
        <v>0</v>
      </c>
      <c r="AQ274" s="224">
        <f t="shared" si="86"/>
        <v>0</v>
      </c>
      <c r="AR274" s="224">
        <f t="shared" si="86"/>
        <v>0</v>
      </c>
      <c r="AS274" s="224">
        <f t="shared" si="86"/>
        <v>0</v>
      </c>
    </row>
    <row r="275" spans="2:45" hidden="1" outlineLevel="2">
      <c r="B275" s="9" t="str">
        <f>'Input - Option 2 Detailed Input'!$C$160</f>
        <v xml:space="preserve">Safety inspection cost </v>
      </c>
      <c r="C275" s="44">
        <f>'Input - Option 2 Detailed Input'!H307</f>
        <v>0</v>
      </c>
      <c r="H275" s="343">
        <f t="shared" si="85"/>
        <v>0</v>
      </c>
      <c r="I275" s="211"/>
      <c r="J275" s="224">
        <f t="shared" si="87"/>
        <v>0</v>
      </c>
      <c r="K275" s="224">
        <f t="shared" si="86"/>
        <v>0</v>
      </c>
      <c r="L275" s="224">
        <f t="shared" si="86"/>
        <v>0</v>
      </c>
      <c r="M275" s="224">
        <f t="shared" si="86"/>
        <v>0</v>
      </c>
      <c r="N275" s="224">
        <f t="shared" si="86"/>
        <v>0</v>
      </c>
      <c r="O275" s="224">
        <f t="shared" si="86"/>
        <v>0</v>
      </c>
      <c r="P275" s="224">
        <f t="shared" si="86"/>
        <v>0</v>
      </c>
      <c r="Q275" s="224">
        <f t="shared" si="86"/>
        <v>0</v>
      </c>
      <c r="R275" s="224">
        <f t="shared" si="86"/>
        <v>0</v>
      </c>
      <c r="S275" s="224">
        <f t="shared" si="86"/>
        <v>0</v>
      </c>
      <c r="T275" s="224">
        <f t="shared" si="86"/>
        <v>0</v>
      </c>
      <c r="U275" s="224">
        <f t="shared" si="86"/>
        <v>0</v>
      </c>
      <c r="V275" s="224">
        <f t="shared" si="86"/>
        <v>0</v>
      </c>
      <c r="W275" s="224">
        <f t="shared" si="86"/>
        <v>0</v>
      </c>
      <c r="X275" s="224">
        <f t="shared" si="86"/>
        <v>0</v>
      </c>
      <c r="Y275" s="224">
        <f t="shared" si="86"/>
        <v>0</v>
      </c>
      <c r="Z275" s="224">
        <f t="shared" si="86"/>
        <v>0</v>
      </c>
      <c r="AA275" s="224">
        <f t="shared" si="86"/>
        <v>0</v>
      </c>
      <c r="AB275" s="224">
        <f t="shared" si="86"/>
        <v>0</v>
      </c>
      <c r="AC275" s="224">
        <f t="shared" si="86"/>
        <v>0</v>
      </c>
      <c r="AD275" s="224">
        <f t="shared" si="86"/>
        <v>0</v>
      </c>
      <c r="AE275" s="224">
        <f t="shared" si="86"/>
        <v>0</v>
      </c>
      <c r="AF275" s="224">
        <f t="shared" si="86"/>
        <v>0</v>
      </c>
      <c r="AG275" s="224">
        <f t="shared" si="86"/>
        <v>0</v>
      </c>
      <c r="AH275" s="224">
        <f t="shared" si="86"/>
        <v>0</v>
      </c>
      <c r="AI275" s="224">
        <f t="shared" si="86"/>
        <v>0</v>
      </c>
      <c r="AJ275" s="224">
        <f t="shared" si="86"/>
        <v>0</v>
      </c>
      <c r="AK275" s="224">
        <f t="shared" si="86"/>
        <v>0</v>
      </c>
      <c r="AL275" s="224">
        <f t="shared" si="86"/>
        <v>0</v>
      </c>
      <c r="AM275" s="224">
        <f t="shared" si="86"/>
        <v>0</v>
      </c>
      <c r="AN275" s="224">
        <f t="shared" si="86"/>
        <v>0</v>
      </c>
      <c r="AO275" s="224">
        <f t="shared" si="86"/>
        <v>0</v>
      </c>
      <c r="AP275" s="224">
        <f t="shared" si="86"/>
        <v>0</v>
      </c>
      <c r="AQ275" s="224">
        <f t="shared" si="86"/>
        <v>0</v>
      </c>
      <c r="AR275" s="224">
        <f t="shared" si="86"/>
        <v>0</v>
      </c>
      <c r="AS275" s="224">
        <f t="shared" si="86"/>
        <v>0</v>
      </c>
    </row>
    <row r="276" spans="2:45" hidden="1" outlineLevel="2">
      <c r="B276" s="9" t="str">
        <f>'Input - Option 2 Detailed Input'!$C$161</f>
        <v xml:space="preserve">Crown lifting </v>
      </c>
      <c r="C276" s="44">
        <f>'Input - Option 2 Detailed Input'!H308</f>
        <v>0</v>
      </c>
      <c r="H276" s="343">
        <f t="shared" si="85"/>
        <v>0</v>
      </c>
      <c r="I276" s="211"/>
      <c r="J276" s="224">
        <f t="shared" si="87"/>
        <v>0</v>
      </c>
      <c r="K276" s="224">
        <f t="shared" si="86"/>
        <v>0</v>
      </c>
      <c r="L276" s="224">
        <f t="shared" si="86"/>
        <v>0</v>
      </c>
      <c r="M276" s="224">
        <f t="shared" si="86"/>
        <v>0</v>
      </c>
      <c r="N276" s="224">
        <f t="shared" si="86"/>
        <v>0</v>
      </c>
      <c r="O276" s="224">
        <f t="shared" si="86"/>
        <v>0</v>
      </c>
      <c r="P276" s="224">
        <f t="shared" si="86"/>
        <v>0</v>
      </c>
      <c r="Q276" s="224">
        <f t="shared" si="86"/>
        <v>0</v>
      </c>
      <c r="R276" s="224">
        <f t="shared" si="86"/>
        <v>0</v>
      </c>
      <c r="S276" s="224">
        <f t="shared" si="86"/>
        <v>0</v>
      </c>
      <c r="T276" s="224">
        <f t="shared" si="86"/>
        <v>0</v>
      </c>
      <c r="U276" s="224">
        <f t="shared" si="86"/>
        <v>0</v>
      </c>
      <c r="V276" s="224">
        <f t="shared" si="86"/>
        <v>0</v>
      </c>
      <c r="W276" s="224">
        <f t="shared" si="86"/>
        <v>0</v>
      </c>
      <c r="X276" s="224">
        <f t="shared" si="86"/>
        <v>0</v>
      </c>
      <c r="Y276" s="224">
        <f t="shared" si="86"/>
        <v>0</v>
      </c>
      <c r="Z276" s="224">
        <f t="shared" si="86"/>
        <v>0</v>
      </c>
      <c r="AA276" s="224">
        <f t="shared" si="86"/>
        <v>0</v>
      </c>
      <c r="AB276" s="224">
        <f t="shared" si="86"/>
        <v>0</v>
      </c>
      <c r="AC276" s="224">
        <f t="shared" si="86"/>
        <v>0</v>
      </c>
      <c r="AD276" s="224">
        <f t="shared" si="86"/>
        <v>0</v>
      </c>
      <c r="AE276" s="224">
        <f t="shared" si="86"/>
        <v>0</v>
      </c>
      <c r="AF276" s="224">
        <f t="shared" si="86"/>
        <v>0</v>
      </c>
      <c r="AG276" s="224">
        <f t="shared" si="86"/>
        <v>0</v>
      </c>
      <c r="AH276" s="224">
        <f t="shared" si="86"/>
        <v>0</v>
      </c>
      <c r="AI276" s="224">
        <f t="shared" si="86"/>
        <v>0</v>
      </c>
      <c r="AJ276" s="224">
        <f t="shared" si="86"/>
        <v>0</v>
      </c>
      <c r="AK276" s="224">
        <f t="shared" si="86"/>
        <v>0</v>
      </c>
      <c r="AL276" s="224">
        <f t="shared" si="86"/>
        <v>0</v>
      </c>
      <c r="AM276" s="224">
        <f t="shared" si="86"/>
        <v>0</v>
      </c>
      <c r="AN276" s="224">
        <f t="shared" si="86"/>
        <v>0</v>
      </c>
      <c r="AO276" s="224">
        <f t="shared" si="86"/>
        <v>0</v>
      </c>
      <c r="AP276" s="224">
        <f t="shared" si="86"/>
        <v>0</v>
      </c>
      <c r="AQ276" s="224">
        <f t="shared" si="86"/>
        <v>0</v>
      </c>
      <c r="AR276" s="224">
        <f t="shared" si="86"/>
        <v>0</v>
      </c>
      <c r="AS276" s="224">
        <f t="shared" si="86"/>
        <v>0</v>
      </c>
    </row>
    <row r="277" spans="2:45" hidden="1" outlineLevel="2">
      <c r="B277" s="9" t="str">
        <f>'Input - Option 2 Detailed Input'!$C$162</f>
        <v>Deadwood cleanout</v>
      </c>
      <c r="C277" s="44">
        <f>'Input - Option 2 Detailed Input'!H309</f>
        <v>0</v>
      </c>
      <c r="H277" s="343">
        <f t="shared" si="85"/>
        <v>0</v>
      </c>
      <c r="I277" s="211"/>
      <c r="J277" s="224">
        <f t="shared" si="87"/>
        <v>0</v>
      </c>
      <c r="K277" s="224">
        <f t="shared" si="86"/>
        <v>0</v>
      </c>
      <c r="L277" s="224">
        <f t="shared" si="86"/>
        <v>0</v>
      </c>
      <c r="M277" s="224">
        <f t="shared" si="86"/>
        <v>0</v>
      </c>
      <c r="N277" s="224">
        <f t="shared" si="86"/>
        <v>0</v>
      </c>
      <c r="O277" s="224">
        <f t="shared" si="86"/>
        <v>0</v>
      </c>
      <c r="P277" s="224">
        <f t="shared" si="86"/>
        <v>0</v>
      </c>
      <c r="Q277" s="224">
        <f t="shared" si="86"/>
        <v>0</v>
      </c>
      <c r="R277" s="224">
        <f t="shared" si="86"/>
        <v>0</v>
      </c>
      <c r="S277" s="224">
        <f t="shared" si="86"/>
        <v>0</v>
      </c>
      <c r="T277" s="224">
        <f t="shared" si="86"/>
        <v>0</v>
      </c>
      <c r="U277" s="224">
        <f t="shared" si="86"/>
        <v>0</v>
      </c>
      <c r="V277" s="224">
        <f t="shared" si="86"/>
        <v>0</v>
      </c>
      <c r="W277" s="224">
        <f t="shared" si="86"/>
        <v>0</v>
      </c>
      <c r="X277" s="224">
        <f t="shared" si="86"/>
        <v>0</v>
      </c>
      <c r="Y277" s="224">
        <f t="shared" si="86"/>
        <v>0</v>
      </c>
      <c r="Z277" s="224">
        <f t="shared" si="86"/>
        <v>0</v>
      </c>
      <c r="AA277" s="224">
        <f t="shared" si="86"/>
        <v>0</v>
      </c>
      <c r="AB277" s="224">
        <f t="shared" si="86"/>
        <v>0</v>
      </c>
      <c r="AC277" s="224">
        <f t="shared" si="86"/>
        <v>0</v>
      </c>
      <c r="AD277" s="224">
        <f t="shared" si="86"/>
        <v>0</v>
      </c>
      <c r="AE277" s="224">
        <f t="shared" si="86"/>
        <v>0</v>
      </c>
      <c r="AF277" s="224">
        <f t="shared" si="86"/>
        <v>0</v>
      </c>
      <c r="AG277" s="224">
        <f t="shared" si="86"/>
        <v>0</v>
      </c>
      <c r="AH277" s="224">
        <f t="shared" si="86"/>
        <v>0</v>
      </c>
      <c r="AI277" s="224">
        <f t="shared" si="86"/>
        <v>0</v>
      </c>
      <c r="AJ277" s="224">
        <f t="shared" si="86"/>
        <v>0</v>
      </c>
      <c r="AK277" s="224">
        <f t="shared" si="86"/>
        <v>0</v>
      </c>
      <c r="AL277" s="224">
        <f t="shared" si="86"/>
        <v>0</v>
      </c>
      <c r="AM277" s="224">
        <f t="shared" si="86"/>
        <v>0</v>
      </c>
      <c r="AN277" s="224">
        <f t="shared" si="86"/>
        <v>0</v>
      </c>
      <c r="AO277" s="224">
        <f t="shared" si="86"/>
        <v>0</v>
      </c>
      <c r="AP277" s="224">
        <f t="shared" si="86"/>
        <v>0</v>
      </c>
      <c r="AQ277" s="224">
        <f t="shared" si="86"/>
        <v>0</v>
      </c>
      <c r="AR277" s="224">
        <f t="shared" si="86"/>
        <v>0</v>
      </c>
      <c r="AS277" s="224">
        <f t="shared" si="86"/>
        <v>0</v>
      </c>
    </row>
    <row r="278" spans="2:45" hidden="1" outlineLevel="2">
      <c r="B278" s="9" t="str">
        <f>'Input - Option 2 Detailed Input'!$C$163</f>
        <v>Additional costs related for specialist pruning regimes</v>
      </c>
      <c r="C278" s="44">
        <f>'Input - Option 2 Detailed Input'!H310</f>
        <v>0</v>
      </c>
      <c r="H278" s="343">
        <f t="shared" si="85"/>
        <v>0</v>
      </c>
      <c r="I278" s="211"/>
      <c r="J278" s="224">
        <f t="shared" si="87"/>
        <v>0</v>
      </c>
      <c r="K278" s="224">
        <f t="shared" si="86"/>
        <v>0</v>
      </c>
      <c r="L278" s="224">
        <f t="shared" si="86"/>
        <v>0</v>
      </c>
      <c r="M278" s="224">
        <f t="shared" si="86"/>
        <v>0</v>
      </c>
      <c r="N278" s="224">
        <f t="shared" si="86"/>
        <v>0</v>
      </c>
      <c r="O278" s="224">
        <f t="shared" si="86"/>
        <v>0</v>
      </c>
      <c r="P278" s="224">
        <f t="shared" si="86"/>
        <v>0</v>
      </c>
      <c r="Q278" s="224">
        <f t="shared" si="86"/>
        <v>0</v>
      </c>
      <c r="R278" s="224">
        <f t="shared" si="86"/>
        <v>0</v>
      </c>
      <c r="S278" s="224">
        <f t="shared" si="86"/>
        <v>0</v>
      </c>
      <c r="T278" s="224">
        <f t="shared" si="86"/>
        <v>0</v>
      </c>
      <c r="U278" s="224">
        <f t="shared" si="86"/>
        <v>0</v>
      </c>
      <c r="V278" s="224">
        <f t="shared" si="86"/>
        <v>0</v>
      </c>
      <c r="W278" s="224">
        <f t="shared" si="86"/>
        <v>0</v>
      </c>
      <c r="X278" s="224">
        <f t="shared" si="86"/>
        <v>0</v>
      </c>
      <c r="Y278" s="224">
        <f t="shared" si="86"/>
        <v>0</v>
      </c>
      <c r="Z278" s="224">
        <f t="shared" si="86"/>
        <v>0</v>
      </c>
      <c r="AA278" s="224">
        <f t="shared" si="86"/>
        <v>0</v>
      </c>
      <c r="AB278" s="224">
        <f t="shared" si="86"/>
        <v>0</v>
      </c>
      <c r="AC278" s="224">
        <f t="shared" si="86"/>
        <v>0</v>
      </c>
      <c r="AD278" s="224">
        <f t="shared" si="86"/>
        <v>0</v>
      </c>
      <c r="AE278" s="224">
        <f t="shared" si="86"/>
        <v>0</v>
      </c>
      <c r="AF278" s="224">
        <f t="shared" si="86"/>
        <v>0</v>
      </c>
      <c r="AG278" s="224">
        <f t="shared" si="86"/>
        <v>0</v>
      </c>
      <c r="AH278" s="224">
        <f t="shared" si="86"/>
        <v>0</v>
      </c>
      <c r="AI278" s="224">
        <f t="shared" si="86"/>
        <v>0</v>
      </c>
      <c r="AJ278" s="224">
        <f t="shared" si="86"/>
        <v>0</v>
      </c>
      <c r="AK278" s="224">
        <f t="shared" si="86"/>
        <v>0</v>
      </c>
      <c r="AL278" s="224">
        <f t="shared" si="86"/>
        <v>0</v>
      </c>
      <c r="AM278" s="224">
        <f t="shared" si="86"/>
        <v>0</v>
      </c>
      <c r="AN278" s="224">
        <f t="shared" si="86"/>
        <v>0</v>
      </c>
      <c r="AO278" s="224">
        <f t="shared" si="86"/>
        <v>0</v>
      </c>
      <c r="AP278" s="224">
        <f t="shared" si="86"/>
        <v>0</v>
      </c>
      <c r="AQ278" s="224">
        <f t="shared" si="86"/>
        <v>0</v>
      </c>
      <c r="AR278" s="224">
        <f t="shared" si="86"/>
        <v>0</v>
      </c>
      <c r="AS278" s="224">
        <f t="shared" si="86"/>
        <v>0</v>
      </c>
    </row>
    <row r="279" spans="2:45" hidden="1" outlineLevel="2">
      <c r="B279" s="9" t="str">
        <f>'Input - Option 2 Detailed Input'!$C$164</f>
        <v>Weeding</v>
      </c>
      <c r="C279" s="44">
        <f>'Input - Option 2 Detailed Input'!H311</f>
        <v>0</v>
      </c>
      <c r="H279" s="343">
        <f t="shared" si="85"/>
        <v>0</v>
      </c>
      <c r="I279" s="211"/>
      <c r="J279" s="224">
        <f t="shared" si="87"/>
        <v>0</v>
      </c>
      <c r="K279" s="224">
        <f t="shared" si="86"/>
        <v>0</v>
      </c>
      <c r="L279" s="224">
        <f t="shared" si="86"/>
        <v>0</v>
      </c>
      <c r="M279" s="224">
        <f t="shared" si="86"/>
        <v>0</v>
      </c>
      <c r="N279" s="224">
        <f t="shared" si="86"/>
        <v>0</v>
      </c>
      <c r="O279" s="224">
        <f t="shared" si="86"/>
        <v>0</v>
      </c>
      <c r="P279" s="224">
        <f t="shared" si="86"/>
        <v>0</v>
      </c>
      <c r="Q279" s="224">
        <f t="shared" si="86"/>
        <v>0</v>
      </c>
      <c r="R279" s="224">
        <f t="shared" si="86"/>
        <v>0</v>
      </c>
      <c r="S279" s="224">
        <f t="shared" si="86"/>
        <v>0</v>
      </c>
      <c r="T279" s="224">
        <f t="shared" si="86"/>
        <v>0</v>
      </c>
      <c r="U279" s="224">
        <f t="shared" si="86"/>
        <v>0</v>
      </c>
      <c r="V279" s="224">
        <f t="shared" si="86"/>
        <v>0</v>
      </c>
      <c r="W279" s="224">
        <f t="shared" si="86"/>
        <v>0</v>
      </c>
      <c r="X279" s="224">
        <f t="shared" si="86"/>
        <v>0</v>
      </c>
      <c r="Y279" s="224">
        <f t="shared" si="86"/>
        <v>0</v>
      </c>
      <c r="Z279" s="224">
        <f t="shared" si="86"/>
        <v>0</v>
      </c>
      <c r="AA279" s="224">
        <f t="shared" si="86"/>
        <v>0</v>
      </c>
      <c r="AB279" s="224">
        <f t="shared" si="86"/>
        <v>0</v>
      </c>
      <c r="AC279" s="224">
        <f t="shared" si="86"/>
        <v>0</v>
      </c>
      <c r="AD279" s="224">
        <f t="shared" si="86"/>
        <v>0</v>
      </c>
      <c r="AE279" s="224">
        <f t="shared" si="86"/>
        <v>0</v>
      </c>
      <c r="AF279" s="224">
        <f t="shared" si="86"/>
        <v>0</v>
      </c>
      <c r="AG279" s="224">
        <f t="shared" si="86"/>
        <v>0</v>
      </c>
      <c r="AH279" s="224">
        <f t="shared" si="86"/>
        <v>0</v>
      </c>
      <c r="AI279" s="224">
        <f t="shared" si="86"/>
        <v>0</v>
      </c>
      <c r="AJ279" s="224">
        <f t="shared" ref="K279:AS281" si="88">-IF((AJ$3=$D$271),($C279)*AJ$4,)</f>
        <v>0</v>
      </c>
      <c r="AK279" s="224">
        <f t="shared" si="88"/>
        <v>0</v>
      </c>
      <c r="AL279" s="224">
        <f t="shared" si="88"/>
        <v>0</v>
      </c>
      <c r="AM279" s="224">
        <f t="shared" si="88"/>
        <v>0</v>
      </c>
      <c r="AN279" s="224">
        <f t="shared" si="88"/>
        <v>0</v>
      </c>
      <c r="AO279" s="224">
        <f t="shared" si="88"/>
        <v>0</v>
      </c>
      <c r="AP279" s="224">
        <f t="shared" si="88"/>
        <v>0</v>
      </c>
      <c r="AQ279" s="224">
        <f t="shared" si="88"/>
        <v>0</v>
      </c>
      <c r="AR279" s="224">
        <f t="shared" si="88"/>
        <v>0</v>
      </c>
      <c r="AS279" s="224">
        <f t="shared" si="88"/>
        <v>0</v>
      </c>
    </row>
    <row r="280" spans="2:45" hidden="1" outlineLevel="2">
      <c r="B280" s="9" t="str">
        <f>'Input - Option 2 Detailed Input'!$C$165</f>
        <v>Epicormic growth removal </v>
      </c>
      <c r="C280" s="44">
        <f>'Input - Option 2 Detailed Input'!H312</f>
        <v>0</v>
      </c>
      <c r="H280" s="343">
        <f t="shared" si="85"/>
        <v>0</v>
      </c>
      <c r="I280" s="211"/>
      <c r="J280" s="224">
        <f t="shared" si="87"/>
        <v>0</v>
      </c>
      <c r="K280" s="224">
        <f t="shared" si="88"/>
        <v>0</v>
      </c>
      <c r="L280" s="224">
        <f t="shared" si="88"/>
        <v>0</v>
      </c>
      <c r="M280" s="224">
        <f t="shared" si="88"/>
        <v>0</v>
      </c>
      <c r="N280" s="224">
        <f t="shared" si="88"/>
        <v>0</v>
      </c>
      <c r="O280" s="224">
        <f t="shared" si="88"/>
        <v>0</v>
      </c>
      <c r="P280" s="224">
        <f t="shared" si="88"/>
        <v>0</v>
      </c>
      <c r="Q280" s="224">
        <f t="shared" si="88"/>
        <v>0</v>
      </c>
      <c r="R280" s="224">
        <f t="shared" si="88"/>
        <v>0</v>
      </c>
      <c r="S280" s="224">
        <f t="shared" si="88"/>
        <v>0</v>
      </c>
      <c r="T280" s="224">
        <f t="shared" si="88"/>
        <v>0</v>
      </c>
      <c r="U280" s="224">
        <f t="shared" si="88"/>
        <v>0</v>
      </c>
      <c r="V280" s="224">
        <f t="shared" si="88"/>
        <v>0</v>
      </c>
      <c r="W280" s="224">
        <f t="shared" si="88"/>
        <v>0</v>
      </c>
      <c r="X280" s="224">
        <f t="shared" si="88"/>
        <v>0</v>
      </c>
      <c r="Y280" s="224">
        <f t="shared" si="88"/>
        <v>0</v>
      </c>
      <c r="Z280" s="224">
        <f t="shared" si="88"/>
        <v>0</v>
      </c>
      <c r="AA280" s="224">
        <f t="shared" si="88"/>
        <v>0</v>
      </c>
      <c r="AB280" s="224">
        <f t="shared" si="88"/>
        <v>0</v>
      </c>
      <c r="AC280" s="224">
        <f t="shared" si="88"/>
        <v>0</v>
      </c>
      <c r="AD280" s="224">
        <f t="shared" si="88"/>
        <v>0</v>
      </c>
      <c r="AE280" s="224">
        <f t="shared" si="88"/>
        <v>0</v>
      </c>
      <c r="AF280" s="224">
        <f t="shared" si="88"/>
        <v>0</v>
      </c>
      <c r="AG280" s="224">
        <f t="shared" si="88"/>
        <v>0</v>
      </c>
      <c r="AH280" s="224">
        <f t="shared" si="88"/>
        <v>0</v>
      </c>
      <c r="AI280" s="224">
        <f t="shared" si="88"/>
        <v>0</v>
      </c>
      <c r="AJ280" s="224">
        <f t="shared" si="88"/>
        <v>0</v>
      </c>
      <c r="AK280" s="224">
        <f t="shared" si="88"/>
        <v>0</v>
      </c>
      <c r="AL280" s="224">
        <f t="shared" si="88"/>
        <v>0</v>
      </c>
      <c r="AM280" s="224">
        <f t="shared" si="88"/>
        <v>0</v>
      </c>
      <c r="AN280" s="224">
        <f t="shared" si="88"/>
        <v>0</v>
      </c>
      <c r="AO280" s="224">
        <f t="shared" si="88"/>
        <v>0</v>
      </c>
      <c r="AP280" s="224">
        <f t="shared" si="88"/>
        <v>0</v>
      </c>
      <c r="AQ280" s="224">
        <f t="shared" si="88"/>
        <v>0</v>
      </c>
      <c r="AR280" s="224">
        <f t="shared" si="88"/>
        <v>0</v>
      </c>
      <c r="AS280" s="224">
        <f t="shared" si="88"/>
        <v>0</v>
      </c>
    </row>
    <row r="281" spans="2:45" hidden="1" outlineLevel="2">
      <c r="B281" s="9" t="str">
        <f>'Input - Option 2 Detailed Input'!$C$166</f>
        <v xml:space="preserve">Costs associated with standpipes </v>
      </c>
      <c r="C281" s="44">
        <f>'Input - Option 2 Detailed Input'!H313</f>
        <v>0</v>
      </c>
      <c r="H281" s="343">
        <f t="shared" si="85"/>
        <v>0</v>
      </c>
      <c r="I281" s="211"/>
      <c r="J281" s="224">
        <f t="shared" si="87"/>
        <v>0</v>
      </c>
      <c r="K281" s="224">
        <f t="shared" si="88"/>
        <v>0</v>
      </c>
      <c r="L281" s="224">
        <f t="shared" si="88"/>
        <v>0</v>
      </c>
      <c r="M281" s="224">
        <f t="shared" si="88"/>
        <v>0</v>
      </c>
      <c r="N281" s="224">
        <f t="shared" si="88"/>
        <v>0</v>
      </c>
      <c r="O281" s="224">
        <f t="shared" si="88"/>
        <v>0</v>
      </c>
      <c r="P281" s="224">
        <f t="shared" si="88"/>
        <v>0</v>
      </c>
      <c r="Q281" s="224">
        <f t="shared" si="88"/>
        <v>0</v>
      </c>
      <c r="R281" s="224">
        <f t="shared" si="88"/>
        <v>0</v>
      </c>
      <c r="S281" s="224">
        <f t="shared" si="88"/>
        <v>0</v>
      </c>
      <c r="T281" s="224">
        <f t="shared" si="88"/>
        <v>0</v>
      </c>
      <c r="U281" s="224">
        <f t="shared" si="88"/>
        <v>0</v>
      </c>
      <c r="V281" s="224">
        <f t="shared" si="88"/>
        <v>0</v>
      </c>
      <c r="W281" s="224">
        <f t="shared" si="88"/>
        <v>0</v>
      </c>
      <c r="X281" s="224">
        <f t="shared" si="88"/>
        <v>0</v>
      </c>
      <c r="Y281" s="224">
        <f t="shared" si="88"/>
        <v>0</v>
      </c>
      <c r="Z281" s="224">
        <f t="shared" si="88"/>
        <v>0</v>
      </c>
      <c r="AA281" s="224">
        <f t="shared" si="88"/>
        <v>0</v>
      </c>
      <c r="AB281" s="224">
        <f t="shared" si="88"/>
        <v>0</v>
      </c>
      <c r="AC281" s="224">
        <f t="shared" si="88"/>
        <v>0</v>
      </c>
      <c r="AD281" s="224">
        <f t="shared" si="88"/>
        <v>0</v>
      </c>
      <c r="AE281" s="224">
        <f t="shared" si="88"/>
        <v>0</v>
      </c>
      <c r="AF281" s="224">
        <f t="shared" si="88"/>
        <v>0</v>
      </c>
      <c r="AG281" s="224">
        <f t="shared" si="88"/>
        <v>0</v>
      </c>
      <c r="AH281" s="224">
        <f t="shared" si="88"/>
        <v>0</v>
      </c>
      <c r="AI281" s="224">
        <f t="shared" si="88"/>
        <v>0</v>
      </c>
      <c r="AJ281" s="224">
        <f t="shared" si="88"/>
        <v>0</v>
      </c>
      <c r="AK281" s="224">
        <f t="shared" si="88"/>
        <v>0</v>
      </c>
      <c r="AL281" s="224">
        <f t="shared" si="88"/>
        <v>0</v>
      </c>
      <c r="AM281" s="224">
        <f t="shared" si="88"/>
        <v>0</v>
      </c>
      <c r="AN281" s="224">
        <f t="shared" si="88"/>
        <v>0</v>
      </c>
      <c r="AO281" s="224">
        <f t="shared" si="88"/>
        <v>0</v>
      </c>
      <c r="AP281" s="224">
        <f t="shared" si="88"/>
        <v>0</v>
      </c>
      <c r="AQ281" s="224">
        <f t="shared" si="88"/>
        <v>0</v>
      </c>
      <c r="AR281" s="224">
        <f t="shared" si="88"/>
        <v>0</v>
      </c>
      <c r="AS281" s="224">
        <f t="shared" si="88"/>
        <v>0</v>
      </c>
    </row>
    <row r="282" spans="2:45" hidden="1" outlineLevel="2">
      <c r="H282" s="343"/>
      <c r="I282" s="213"/>
      <c r="J282" s="224"/>
      <c r="K282" s="224"/>
      <c r="L282" s="224"/>
      <c r="M282" s="224"/>
      <c r="N282" s="224"/>
      <c r="O282" s="224"/>
      <c r="P282" s="224"/>
      <c r="Q282" s="224"/>
      <c r="R282" s="224"/>
      <c r="S282" s="224"/>
      <c r="T282" s="224"/>
      <c r="U282" s="224"/>
      <c r="V282" s="224"/>
      <c r="W282" s="224"/>
      <c r="X282" s="224"/>
      <c r="Y282" s="224"/>
      <c r="Z282" s="224"/>
      <c r="AA282" s="224"/>
      <c r="AB282" s="224"/>
      <c r="AC282" s="224"/>
      <c r="AD282" s="224"/>
      <c r="AE282" s="224"/>
      <c r="AF282" s="224"/>
      <c r="AG282" s="224"/>
      <c r="AH282" s="224"/>
      <c r="AI282" s="224"/>
      <c r="AJ282" s="224"/>
      <c r="AK282" s="224"/>
      <c r="AL282" s="224"/>
      <c r="AM282" s="224"/>
      <c r="AN282" s="224"/>
      <c r="AO282" s="224"/>
      <c r="AP282" s="224"/>
      <c r="AQ282" s="224"/>
      <c r="AR282" s="224"/>
      <c r="AS282" s="224"/>
    </row>
    <row r="283" spans="2:45" hidden="1" outlineLevel="2">
      <c r="B283" s="103" t="str">
        <f>'Input - Option 2 Detailed Input'!C315</f>
        <v>Year 8 - Additional Costs</v>
      </c>
      <c r="C283" s="25" t="str">
        <f>'Input - Option 2 Detailed Input'!G315</f>
        <v>Total Costs (per visit)</v>
      </c>
      <c r="H283" s="343"/>
      <c r="I283" s="213"/>
      <c r="J283" s="224"/>
      <c r="K283" s="224"/>
      <c r="L283" s="224"/>
      <c r="M283" s="224"/>
      <c r="N283" s="224"/>
      <c r="O283" s="224"/>
      <c r="P283" s="224"/>
      <c r="Q283" s="224"/>
      <c r="R283" s="224"/>
      <c r="S283" s="224"/>
      <c r="T283" s="224"/>
      <c r="U283" s="224"/>
      <c r="V283" s="224"/>
      <c r="W283" s="224"/>
      <c r="X283" s="224"/>
      <c r="Y283" s="224"/>
      <c r="Z283" s="224"/>
      <c r="AA283" s="224"/>
      <c r="AB283" s="224"/>
      <c r="AC283" s="224"/>
      <c r="AD283" s="224"/>
      <c r="AE283" s="224"/>
      <c r="AF283" s="224"/>
      <c r="AG283" s="224"/>
      <c r="AH283" s="224"/>
      <c r="AI283" s="224"/>
      <c r="AJ283" s="224"/>
      <c r="AK283" s="224"/>
      <c r="AL283" s="224"/>
      <c r="AM283" s="224"/>
      <c r="AN283" s="224"/>
      <c r="AO283" s="224"/>
      <c r="AP283" s="224"/>
      <c r="AQ283" s="224"/>
      <c r="AR283" s="224"/>
      <c r="AS283" s="224"/>
    </row>
    <row r="284" spans="2:45" hidden="1" outlineLevel="2">
      <c r="B284" s="9" t="str">
        <f>'Input - Option 2 Detailed Input'!C316</f>
        <v xml:space="preserve">[Additional costs #1] </v>
      </c>
      <c r="C284" s="44">
        <f>'Input - Option 2 Detailed Input'!G316</f>
        <v>0</v>
      </c>
      <c r="H284" s="343">
        <f>SUM(J284:EJ284)</f>
        <v>0</v>
      </c>
      <c r="I284" s="211"/>
      <c r="J284" s="224">
        <f>-IF((J$3=$D$271),($C284)*J$4,)</f>
        <v>0</v>
      </c>
      <c r="K284" s="224">
        <f t="shared" ref="K284:AS288" si="89">-IF((K$3=$D$271),($C284)*K$4,)</f>
        <v>0</v>
      </c>
      <c r="L284" s="224">
        <f t="shared" si="89"/>
        <v>0</v>
      </c>
      <c r="M284" s="224">
        <f t="shared" si="89"/>
        <v>0</v>
      </c>
      <c r="N284" s="224">
        <f t="shared" si="89"/>
        <v>0</v>
      </c>
      <c r="O284" s="224">
        <f t="shared" si="89"/>
        <v>0</v>
      </c>
      <c r="P284" s="224">
        <f t="shared" si="89"/>
        <v>0</v>
      </c>
      <c r="Q284" s="224">
        <f t="shared" si="89"/>
        <v>0</v>
      </c>
      <c r="R284" s="224">
        <f t="shared" si="89"/>
        <v>0</v>
      </c>
      <c r="S284" s="224">
        <f t="shared" si="89"/>
        <v>0</v>
      </c>
      <c r="T284" s="224">
        <f t="shared" si="89"/>
        <v>0</v>
      </c>
      <c r="U284" s="224">
        <f t="shared" si="89"/>
        <v>0</v>
      </c>
      <c r="V284" s="224">
        <f t="shared" si="89"/>
        <v>0</v>
      </c>
      <c r="W284" s="224">
        <f t="shared" si="89"/>
        <v>0</v>
      </c>
      <c r="X284" s="224">
        <f t="shared" si="89"/>
        <v>0</v>
      </c>
      <c r="Y284" s="224">
        <f t="shared" si="89"/>
        <v>0</v>
      </c>
      <c r="Z284" s="224">
        <f t="shared" si="89"/>
        <v>0</v>
      </c>
      <c r="AA284" s="224">
        <f t="shared" si="89"/>
        <v>0</v>
      </c>
      <c r="AB284" s="224">
        <f t="shared" si="89"/>
        <v>0</v>
      </c>
      <c r="AC284" s="224">
        <f t="shared" si="89"/>
        <v>0</v>
      </c>
      <c r="AD284" s="224">
        <f t="shared" si="89"/>
        <v>0</v>
      </c>
      <c r="AE284" s="224">
        <f t="shared" si="89"/>
        <v>0</v>
      </c>
      <c r="AF284" s="224">
        <f t="shared" si="89"/>
        <v>0</v>
      </c>
      <c r="AG284" s="224">
        <f t="shared" si="89"/>
        <v>0</v>
      </c>
      <c r="AH284" s="224">
        <f t="shared" si="89"/>
        <v>0</v>
      </c>
      <c r="AI284" s="224">
        <f t="shared" si="89"/>
        <v>0</v>
      </c>
      <c r="AJ284" s="224">
        <f t="shared" si="89"/>
        <v>0</v>
      </c>
      <c r="AK284" s="224">
        <f t="shared" si="89"/>
        <v>0</v>
      </c>
      <c r="AL284" s="224">
        <f t="shared" si="89"/>
        <v>0</v>
      </c>
      <c r="AM284" s="224">
        <f t="shared" si="89"/>
        <v>0</v>
      </c>
      <c r="AN284" s="224">
        <f t="shared" si="89"/>
        <v>0</v>
      </c>
      <c r="AO284" s="224">
        <f t="shared" si="89"/>
        <v>0</v>
      </c>
      <c r="AP284" s="224">
        <f t="shared" si="89"/>
        <v>0</v>
      </c>
      <c r="AQ284" s="224">
        <f t="shared" si="89"/>
        <v>0</v>
      </c>
      <c r="AR284" s="224">
        <f t="shared" si="89"/>
        <v>0</v>
      </c>
      <c r="AS284" s="224">
        <f t="shared" si="89"/>
        <v>0</v>
      </c>
    </row>
    <row r="285" spans="2:45" hidden="1" outlineLevel="2">
      <c r="B285" s="9" t="str">
        <f>'Input - Option 2 Detailed Input'!C317</f>
        <v>[Additional costs #2]</v>
      </c>
      <c r="C285" s="44">
        <f>'Input - Option 2 Detailed Input'!G317</f>
        <v>0</v>
      </c>
      <c r="H285" s="343">
        <f>SUM(J285:EJ285)</f>
        <v>0</v>
      </c>
      <c r="I285" s="211"/>
      <c r="J285" s="224">
        <f t="shared" ref="J285:Y288" si="90">-IF((J$3=$D$271),($C285)*J$4,)</f>
        <v>0</v>
      </c>
      <c r="K285" s="224">
        <f t="shared" si="90"/>
        <v>0</v>
      </c>
      <c r="L285" s="224">
        <f t="shared" si="90"/>
        <v>0</v>
      </c>
      <c r="M285" s="224">
        <f t="shared" si="90"/>
        <v>0</v>
      </c>
      <c r="N285" s="224">
        <f t="shared" si="90"/>
        <v>0</v>
      </c>
      <c r="O285" s="224">
        <f t="shared" si="90"/>
        <v>0</v>
      </c>
      <c r="P285" s="224">
        <f t="shared" si="90"/>
        <v>0</v>
      </c>
      <c r="Q285" s="224">
        <f t="shared" si="90"/>
        <v>0</v>
      </c>
      <c r="R285" s="224">
        <f t="shared" si="90"/>
        <v>0</v>
      </c>
      <c r="S285" s="224">
        <f t="shared" si="90"/>
        <v>0</v>
      </c>
      <c r="T285" s="224">
        <f t="shared" si="90"/>
        <v>0</v>
      </c>
      <c r="U285" s="224">
        <f t="shared" si="90"/>
        <v>0</v>
      </c>
      <c r="V285" s="224">
        <f t="shared" si="90"/>
        <v>0</v>
      </c>
      <c r="W285" s="224">
        <f t="shared" si="90"/>
        <v>0</v>
      </c>
      <c r="X285" s="224">
        <f t="shared" si="90"/>
        <v>0</v>
      </c>
      <c r="Y285" s="224">
        <f t="shared" si="90"/>
        <v>0</v>
      </c>
      <c r="Z285" s="224">
        <f t="shared" si="89"/>
        <v>0</v>
      </c>
      <c r="AA285" s="224">
        <f t="shared" si="89"/>
        <v>0</v>
      </c>
      <c r="AB285" s="224">
        <f t="shared" si="89"/>
        <v>0</v>
      </c>
      <c r="AC285" s="224">
        <f t="shared" si="89"/>
        <v>0</v>
      </c>
      <c r="AD285" s="224">
        <f t="shared" si="89"/>
        <v>0</v>
      </c>
      <c r="AE285" s="224">
        <f t="shared" si="89"/>
        <v>0</v>
      </c>
      <c r="AF285" s="224">
        <f t="shared" si="89"/>
        <v>0</v>
      </c>
      <c r="AG285" s="224">
        <f t="shared" si="89"/>
        <v>0</v>
      </c>
      <c r="AH285" s="224">
        <f t="shared" si="89"/>
        <v>0</v>
      </c>
      <c r="AI285" s="224">
        <f t="shared" si="89"/>
        <v>0</v>
      </c>
      <c r="AJ285" s="224">
        <f t="shared" si="89"/>
        <v>0</v>
      </c>
      <c r="AK285" s="224">
        <f t="shared" si="89"/>
        <v>0</v>
      </c>
      <c r="AL285" s="224">
        <f t="shared" si="89"/>
        <v>0</v>
      </c>
      <c r="AM285" s="224">
        <f t="shared" si="89"/>
        <v>0</v>
      </c>
      <c r="AN285" s="224">
        <f t="shared" si="89"/>
        <v>0</v>
      </c>
      <c r="AO285" s="224">
        <f t="shared" si="89"/>
        <v>0</v>
      </c>
      <c r="AP285" s="224">
        <f t="shared" si="89"/>
        <v>0</v>
      </c>
      <c r="AQ285" s="224">
        <f t="shared" si="89"/>
        <v>0</v>
      </c>
      <c r="AR285" s="224">
        <f t="shared" si="89"/>
        <v>0</v>
      </c>
      <c r="AS285" s="224">
        <f t="shared" si="89"/>
        <v>0</v>
      </c>
    </row>
    <row r="286" spans="2:45" hidden="1" outlineLevel="2">
      <c r="B286" s="9" t="str">
        <f>'Input - Option 2 Detailed Input'!C318</f>
        <v xml:space="preserve">[Additional costs #3] </v>
      </c>
      <c r="C286" s="44">
        <f>'Input - Option 2 Detailed Input'!G318</f>
        <v>0</v>
      </c>
      <c r="H286" s="343">
        <f>SUM(J286:EJ286)</f>
        <v>0</v>
      </c>
      <c r="I286" s="211"/>
      <c r="J286" s="224">
        <f t="shared" si="90"/>
        <v>0</v>
      </c>
      <c r="K286" s="224">
        <f t="shared" si="89"/>
        <v>0</v>
      </c>
      <c r="L286" s="224">
        <f t="shared" si="89"/>
        <v>0</v>
      </c>
      <c r="M286" s="224">
        <f t="shared" si="89"/>
        <v>0</v>
      </c>
      <c r="N286" s="224">
        <f t="shared" si="89"/>
        <v>0</v>
      </c>
      <c r="O286" s="224">
        <f t="shared" si="89"/>
        <v>0</v>
      </c>
      <c r="P286" s="224">
        <f t="shared" si="89"/>
        <v>0</v>
      </c>
      <c r="Q286" s="224">
        <f t="shared" si="89"/>
        <v>0</v>
      </c>
      <c r="R286" s="224">
        <f t="shared" si="89"/>
        <v>0</v>
      </c>
      <c r="S286" s="224">
        <f t="shared" si="89"/>
        <v>0</v>
      </c>
      <c r="T286" s="224">
        <f t="shared" si="89"/>
        <v>0</v>
      </c>
      <c r="U286" s="224">
        <f t="shared" si="89"/>
        <v>0</v>
      </c>
      <c r="V286" s="224">
        <f t="shared" si="89"/>
        <v>0</v>
      </c>
      <c r="W286" s="224">
        <f t="shared" si="89"/>
        <v>0</v>
      </c>
      <c r="X286" s="224">
        <f t="shared" si="89"/>
        <v>0</v>
      </c>
      <c r="Y286" s="224">
        <f t="shared" si="89"/>
        <v>0</v>
      </c>
      <c r="Z286" s="224">
        <f t="shared" si="89"/>
        <v>0</v>
      </c>
      <c r="AA286" s="224">
        <f t="shared" si="89"/>
        <v>0</v>
      </c>
      <c r="AB286" s="224">
        <f t="shared" si="89"/>
        <v>0</v>
      </c>
      <c r="AC286" s="224">
        <f t="shared" si="89"/>
        <v>0</v>
      </c>
      <c r="AD286" s="224">
        <f t="shared" si="89"/>
        <v>0</v>
      </c>
      <c r="AE286" s="224">
        <f t="shared" si="89"/>
        <v>0</v>
      </c>
      <c r="AF286" s="224">
        <f t="shared" si="89"/>
        <v>0</v>
      </c>
      <c r="AG286" s="224">
        <f t="shared" si="89"/>
        <v>0</v>
      </c>
      <c r="AH286" s="224">
        <f t="shared" si="89"/>
        <v>0</v>
      </c>
      <c r="AI286" s="224">
        <f t="shared" si="89"/>
        <v>0</v>
      </c>
      <c r="AJ286" s="224">
        <f t="shared" si="89"/>
        <v>0</v>
      </c>
      <c r="AK286" s="224">
        <f t="shared" si="89"/>
        <v>0</v>
      </c>
      <c r="AL286" s="224">
        <f t="shared" si="89"/>
        <v>0</v>
      </c>
      <c r="AM286" s="224">
        <f t="shared" si="89"/>
        <v>0</v>
      </c>
      <c r="AN286" s="224">
        <f t="shared" si="89"/>
        <v>0</v>
      </c>
      <c r="AO286" s="224">
        <f t="shared" si="89"/>
        <v>0</v>
      </c>
      <c r="AP286" s="224">
        <f t="shared" si="89"/>
        <v>0</v>
      </c>
      <c r="AQ286" s="224">
        <f t="shared" si="89"/>
        <v>0</v>
      </c>
      <c r="AR286" s="224">
        <f t="shared" si="89"/>
        <v>0</v>
      </c>
      <c r="AS286" s="224">
        <f t="shared" si="89"/>
        <v>0</v>
      </c>
    </row>
    <row r="287" spans="2:45" hidden="1" outlineLevel="2">
      <c r="B287" s="9" t="str">
        <f>'Input - Option 2 Detailed Input'!C319</f>
        <v>[Additional costs #4]</v>
      </c>
      <c r="C287" s="44">
        <f>'Input - Option 2 Detailed Input'!G319</f>
        <v>0</v>
      </c>
      <c r="H287" s="343">
        <f>SUM(J287:EJ287)</f>
        <v>0</v>
      </c>
      <c r="I287" s="211"/>
      <c r="J287" s="224">
        <f t="shared" si="90"/>
        <v>0</v>
      </c>
      <c r="K287" s="224">
        <f t="shared" si="89"/>
        <v>0</v>
      </c>
      <c r="L287" s="224">
        <f t="shared" si="89"/>
        <v>0</v>
      </c>
      <c r="M287" s="224">
        <f t="shared" si="89"/>
        <v>0</v>
      </c>
      <c r="N287" s="224">
        <f t="shared" si="89"/>
        <v>0</v>
      </c>
      <c r="O287" s="224">
        <f t="shared" si="89"/>
        <v>0</v>
      </c>
      <c r="P287" s="224">
        <f t="shared" si="89"/>
        <v>0</v>
      </c>
      <c r="Q287" s="224">
        <f t="shared" si="89"/>
        <v>0</v>
      </c>
      <c r="R287" s="224">
        <f t="shared" si="89"/>
        <v>0</v>
      </c>
      <c r="S287" s="224">
        <f t="shared" si="89"/>
        <v>0</v>
      </c>
      <c r="T287" s="224">
        <f t="shared" si="89"/>
        <v>0</v>
      </c>
      <c r="U287" s="224">
        <f t="shared" si="89"/>
        <v>0</v>
      </c>
      <c r="V287" s="224">
        <f t="shared" si="89"/>
        <v>0</v>
      </c>
      <c r="W287" s="224">
        <f t="shared" si="89"/>
        <v>0</v>
      </c>
      <c r="X287" s="224">
        <f t="shared" si="89"/>
        <v>0</v>
      </c>
      <c r="Y287" s="224">
        <f t="shared" si="89"/>
        <v>0</v>
      </c>
      <c r="Z287" s="224">
        <f t="shared" si="89"/>
        <v>0</v>
      </c>
      <c r="AA287" s="224">
        <f t="shared" si="89"/>
        <v>0</v>
      </c>
      <c r="AB287" s="224">
        <f t="shared" si="89"/>
        <v>0</v>
      </c>
      <c r="AC287" s="224">
        <f t="shared" si="89"/>
        <v>0</v>
      </c>
      <c r="AD287" s="224">
        <f t="shared" si="89"/>
        <v>0</v>
      </c>
      <c r="AE287" s="224">
        <f t="shared" si="89"/>
        <v>0</v>
      </c>
      <c r="AF287" s="224">
        <f t="shared" si="89"/>
        <v>0</v>
      </c>
      <c r="AG287" s="224">
        <f t="shared" si="89"/>
        <v>0</v>
      </c>
      <c r="AH287" s="224">
        <f t="shared" si="89"/>
        <v>0</v>
      </c>
      <c r="AI287" s="224">
        <f t="shared" si="89"/>
        <v>0</v>
      </c>
      <c r="AJ287" s="224">
        <f t="shared" si="89"/>
        <v>0</v>
      </c>
      <c r="AK287" s="224">
        <f t="shared" si="89"/>
        <v>0</v>
      </c>
      <c r="AL287" s="224">
        <f t="shared" si="89"/>
        <v>0</v>
      </c>
      <c r="AM287" s="224">
        <f t="shared" si="89"/>
        <v>0</v>
      </c>
      <c r="AN287" s="224">
        <f t="shared" si="89"/>
        <v>0</v>
      </c>
      <c r="AO287" s="224">
        <f t="shared" si="89"/>
        <v>0</v>
      </c>
      <c r="AP287" s="224">
        <f t="shared" si="89"/>
        <v>0</v>
      </c>
      <c r="AQ287" s="224">
        <f t="shared" si="89"/>
        <v>0</v>
      </c>
      <c r="AR287" s="224">
        <f t="shared" si="89"/>
        <v>0</v>
      </c>
      <c r="AS287" s="224">
        <f t="shared" si="89"/>
        <v>0</v>
      </c>
    </row>
    <row r="288" spans="2:45" hidden="1" outlineLevel="2">
      <c r="B288" s="9" t="str">
        <f>'Input - Option 2 Detailed Input'!C320</f>
        <v xml:space="preserve">[Additional costs #5] </v>
      </c>
      <c r="C288" s="44">
        <f>'Input - Option 2 Detailed Input'!G320</f>
        <v>0</v>
      </c>
      <c r="H288" s="343">
        <f>SUM(J288:EJ288)</f>
        <v>0</v>
      </c>
      <c r="I288" s="211"/>
      <c r="J288" s="224">
        <f t="shared" si="90"/>
        <v>0</v>
      </c>
      <c r="K288" s="224">
        <f t="shared" si="89"/>
        <v>0</v>
      </c>
      <c r="L288" s="224">
        <f t="shared" si="89"/>
        <v>0</v>
      </c>
      <c r="M288" s="224">
        <f t="shared" si="89"/>
        <v>0</v>
      </c>
      <c r="N288" s="224">
        <f t="shared" si="89"/>
        <v>0</v>
      </c>
      <c r="O288" s="224">
        <f t="shared" si="89"/>
        <v>0</v>
      </c>
      <c r="P288" s="224">
        <f t="shared" si="89"/>
        <v>0</v>
      </c>
      <c r="Q288" s="224">
        <f t="shared" si="89"/>
        <v>0</v>
      </c>
      <c r="R288" s="224">
        <f t="shared" si="89"/>
        <v>0</v>
      </c>
      <c r="S288" s="224">
        <f t="shared" si="89"/>
        <v>0</v>
      </c>
      <c r="T288" s="224">
        <f t="shared" si="89"/>
        <v>0</v>
      </c>
      <c r="U288" s="224">
        <f t="shared" si="89"/>
        <v>0</v>
      </c>
      <c r="V288" s="224">
        <f t="shared" si="89"/>
        <v>0</v>
      </c>
      <c r="W288" s="224">
        <f t="shared" si="89"/>
        <v>0</v>
      </c>
      <c r="X288" s="224">
        <f t="shared" si="89"/>
        <v>0</v>
      </c>
      <c r="Y288" s="224">
        <f t="shared" si="89"/>
        <v>0</v>
      </c>
      <c r="Z288" s="224">
        <f t="shared" si="89"/>
        <v>0</v>
      </c>
      <c r="AA288" s="224">
        <f t="shared" si="89"/>
        <v>0</v>
      </c>
      <c r="AB288" s="224">
        <f t="shared" si="89"/>
        <v>0</v>
      </c>
      <c r="AC288" s="224">
        <f t="shared" si="89"/>
        <v>0</v>
      </c>
      <c r="AD288" s="224">
        <f t="shared" si="89"/>
        <v>0</v>
      </c>
      <c r="AE288" s="224">
        <f t="shared" si="89"/>
        <v>0</v>
      </c>
      <c r="AF288" s="224">
        <f t="shared" si="89"/>
        <v>0</v>
      </c>
      <c r="AG288" s="224">
        <f t="shared" si="89"/>
        <v>0</v>
      </c>
      <c r="AH288" s="224">
        <f t="shared" si="89"/>
        <v>0</v>
      </c>
      <c r="AI288" s="224">
        <f t="shared" si="89"/>
        <v>0</v>
      </c>
      <c r="AJ288" s="224">
        <f t="shared" si="89"/>
        <v>0</v>
      </c>
      <c r="AK288" s="224">
        <f t="shared" si="89"/>
        <v>0</v>
      </c>
      <c r="AL288" s="224">
        <f t="shared" si="89"/>
        <v>0</v>
      </c>
      <c r="AM288" s="224">
        <f t="shared" si="89"/>
        <v>0</v>
      </c>
      <c r="AN288" s="224">
        <f t="shared" si="89"/>
        <v>0</v>
      </c>
      <c r="AO288" s="224">
        <f t="shared" si="89"/>
        <v>0</v>
      </c>
      <c r="AP288" s="224">
        <f t="shared" si="89"/>
        <v>0</v>
      </c>
      <c r="AQ288" s="224">
        <f t="shared" si="89"/>
        <v>0</v>
      </c>
      <c r="AR288" s="224">
        <f t="shared" si="89"/>
        <v>0</v>
      </c>
      <c r="AS288" s="224">
        <f t="shared" si="89"/>
        <v>0</v>
      </c>
    </row>
    <row r="289" spans="1:45" hidden="1" outlineLevel="2">
      <c r="H289" s="343"/>
    </row>
    <row r="290" spans="1:45" hidden="1" outlineLevel="2">
      <c r="A290" s="15"/>
      <c r="B290" s="16" t="s">
        <v>317</v>
      </c>
      <c r="C290" s="12"/>
      <c r="D290" s="12"/>
      <c r="E290" s="12"/>
      <c r="F290" s="12"/>
      <c r="G290" s="12"/>
      <c r="H290" s="259">
        <f>SUM(H284:H288,H272:H281)</f>
        <v>0</v>
      </c>
      <c r="I290" s="215"/>
      <c r="J290" s="225">
        <f>SUM(J271:J281,J284:J288)</f>
        <v>0</v>
      </c>
      <c r="K290" s="225">
        <f t="shared" ref="K290:AS290" si="91">SUM(K271:K281,K284:K288)</f>
        <v>0</v>
      </c>
      <c r="L290" s="225">
        <f t="shared" si="91"/>
        <v>0</v>
      </c>
      <c r="M290" s="225">
        <f t="shared" si="91"/>
        <v>0</v>
      </c>
      <c r="N290" s="225">
        <f t="shared" si="91"/>
        <v>0</v>
      </c>
      <c r="O290" s="225">
        <f t="shared" si="91"/>
        <v>0</v>
      </c>
      <c r="P290" s="225">
        <f t="shared" si="91"/>
        <v>0</v>
      </c>
      <c r="Q290" s="225">
        <f t="shared" si="91"/>
        <v>0</v>
      </c>
      <c r="R290" s="225">
        <f t="shared" si="91"/>
        <v>0</v>
      </c>
      <c r="S290" s="225">
        <f t="shared" si="91"/>
        <v>0</v>
      </c>
      <c r="T290" s="225">
        <f t="shared" si="91"/>
        <v>0</v>
      </c>
      <c r="U290" s="225">
        <f t="shared" si="91"/>
        <v>0</v>
      </c>
      <c r="V290" s="225">
        <f t="shared" si="91"/>
        <v>0</v>
      </c>
      <c r="W290" s="225">
        <f t="shared" si="91"/>
        <v>0</v>
      </c>
      <c r="X290" s="225">
        <f t="shared" si="91"/>
        <v>0</v>
      </c>
      <c r="Y290" s="225">
        <f t="shared" si="91"/>
        <v>0</v>
      </c>
      <c r="Z290" s="225">
        <f t="shared" si="91"/>
        <v>0</v>
      </c>
      <c r="AA290" s="225">
        <f t="shared" si="91"/>
        <v>0</v>
      </c>
      <c r="AB290" s="225">
        <f t="shared" si="91"/>
        <v>0</v>
      </c>
      <c r="AC290" s="225">
        <f t="shared" si="91"/>
        <v>0</v>
      </c>
      <c r="AD290" s="225">
        <f t="shared" si="91"/>
        <v>0</v>
      </c>
      <c r="AE290" s="225">
        <f t="shared" si="91"/>
        <v>0</v>
      </c>
      <c r="AF290" s="225">
        <f t="shared" si="91"/>
        <v>0</v>
      </c>
      <c r="AG290" s="225">
        <f t="shared" si="91"/>
        <v>0</v>
      </c>
      <c r="AH290" s="225">
        <f t="shared" si="91"/>
        <v>0</v>
      </c>
      <c r="AI290" s="225">
        <f t="shared" si="91"/>
        <v>0</v>
      </c>
      <c r="AJ290" s="225">
        <f t="shared" si="91"/>
        <v>0</v>
      </c>
      <c r="AK290" s="225">
        <f t="shared" si="91"/>
        <v>0</v>
      </c>
      <c r="AL290" s="225">
        <f t="shared" si="91"/>
        <v>0</v>
      </c>
      <c r="AM290" s="225">
        <f t="shared" si="91"/>
        <v>0</v>
      </c>
      <c r="AN290" s="225">
        <f t="shared" si="91"/>
        <v>0</v>
      </c>
      <c r="AO290" s="225">
        <f t="shared" si="91"/>
        <v>0</v>
      </c>
      <c r="AP290" s="225">
        <f t="shared" si="91"/>
        <v>0</v>
      </c>
      <c r="AQ290" s="225">
        <f t="shared" si="91"/>
        <v>0</v>
      </c>
      <c r="AR290" s="225">
        <f t="shared" si="91"/>
        <v>0</v>
      </c>
      <c r="AS290" s="225">
        <f t="shared" si="91"/>
        <v>0</v>
      </c>
    </row>
    <row r="291" spans="1:45" hidden="1" outlineLevel="2">
      <c r="H291" s="35"/>
      <c r="I291" s="213"/>
    </row>
    <row r="292" spans="1:45" hidden="1" outlineLevel="2">
      <c r="B292" s="103" t="str">
        <f>'Input - Option 2 Detailed Input'!C322</f>
        <v>Year 9 of establishment and maintenance</v>
      </c>
      <c r="C292" s="25" t="str">
        <f>'Input - Option 2 Detailed Input'!H323</f>
        <v>Total Costs (per visit)</v>
      </c>
      <c r="D292" s="39">
        <f>IF($C$3=$C$4,'Input - Option 2 Detailed Input'!D322,)</f>
        <v>0</v>
      </c>
      <c r="H292" s="35"/>
      <c r="I292" s="213"/>
    </row>
    <row r="293" spans="1:45" hidden="1" outlineLevel="2">
      <c r="B293" s="9" t="str">
        <f>'Input - Option 2 Detailed Input'!$C$156</f>
        <v>Recuring unitary maintenance visits (e.g. watering, mulching, etc.)</v>
      </c>
      <c r="C293" s="44">
        <f>'Input - Option 2 Detailed Input'!H324</f>
        <v>0</v>
      </c>
      <c r="H293" s="343">
        <f t="shared" ref="H293:H302" si="92">SUM(J293:EJ293)</f>
        <v>0</v>
      </c>
      <c r="I293" s="211"/>
      <c r="J293" s="224">
        <f>-IF((J$3=$D$292),($C293)*J$4,)</f>
        <v>0</v>
      </c>
      <c r="K293" s="224">
        <f t="shared" ref="K293:AS300" si="93">-IF((K$3=$D$292),($C293)*K$4,)</f>
        <v>0</v>
      </c>
      <c r="L293" s="224">
        <f t="shared" si="93"/>
        <v>0</v>
      </c>
      <c r="M293" s="224">
        <f t="shared" si="93"/>
        <v>0</v>
      </c>
      <c r="N293" s="224">
        <f t="shared" si="93"/>
        <v>0</v>
      </c>
      <c r="O293" s="224">
        <f t="shared" si="93"/>
        <v>0</v>
      </c>
      <c r="P293" s="224">
        <f t="shared" si="93"/>
        <v>0</v>
      </c>
      <c r="Q293" s="224">
        <f t="shared" si="93"/>
        <v>0</v>
      </c>
      <c r="R293" s="224">
        <f t="shared" si="93"/>
        <v>0</v>
      </c>
      <c r="S293" s="224">
        <f t="shared" si="93"/>
        <v>0</v>
      </c>
      <c r="T293" s="224">
        <f t="shared" si="93"/>
        <v>0</v>
      </c>
      <c r="U293" s="224">
        <f t="shared" si="93"/>
        <v>0</v>
      </c>
      <c r="V293" s="224">
        <f t="shared" si="93"/>
        <v>0</v>
      </c>
      <c r="W293" s="224">
        <f t="shared" si="93"/>
        <v>0</v>
      </c>
      <c r="X293" s="224">
        <f t="shared" si="93"/>
        <v>0</v>
      </c>
      <c r="Y293" s="224">
        <f t="shared" si="93"/>
        <v>0</v>
      </c>
      <c r="Z293" s="224">
        <f t="shared" si="93"/>
        <v>0</v>
      </c>
      <c r="AA293" s="224">
        <f t="shared" si="93"/>
        <v>0</v>
      </c>
      <c r="AB293" s="224">
        <f t="shared" si="93"/>
        <v>0</v>
      </c>
      <c r="AC293" s="224">
        <f t="shared" si="93"/>
        <v>0</v>
      </c>
      <c r="AD293" s="224">
        <f t="shared" si="93"/>
        <v>0</v>
      </c>
      <c r="AE293" s="224">
        <f t="shared" si="93"/>
        <v>0</v>
      </c>
      <c r="AF293" s="224">
        <f t="shared" si="93"/>
        <v>0</v>
      </c>
      <c r="AG293" s="224">
        <f t="shared" si="93"/>
        <v>0</v>
      </c>
      <c r="AH293" s="224">
        <f t="shared" si="93"/>
        <v>0</v>
      </c>
      <c r="AI293" s="224">
        <f t="shared" si="93"/>
        <v>0</v>
      </c>
      <c r="AJ293" s="224">
        <f t="shared" si="93"/>
        <v>0</v>
      </c>
      <c r="AK293" s="224">
        <f t="shared" si="93"/>
        <v>0</v>
      </c>
      <c r="AL293" s="224">
        <f t="shared" si="93"/>
        <v>0</v>
      </c>
      <c r="AM293" s="224">
        <f t="shared" si="93"/>
        <v>0</v>
      </c>
      <c r="AN293" s="224">
        <f t="shared" si="93"/>
        <v>0</v>
      </c>
      <c r="AO293" s="224">
        <f t="shared" si="93"/>
        <v>0</v>
      </c>
      <c r="AP293" s="224">
        <f t="shared" si="93"/>
        <v>0</v>
      </c>
      <c r="AQ293" s="224">
        <f t="shared" si="93"/>
        <v>0</v>
      </c>
      <c r="AR293" s="224">
        <f t="shared" si="93"/>
        <v>0</v>
      </c>
      <c r="AS293" s="224">
        <f t="shared" si="93"/>
        <v>0</v>
      </c>
    </row>
    <row r="294" spans="1:45" hidden="1" outlineLevel="2">
      <c r="B294" s="9" t="str">
        <f>'Input - Option 2 Detailed Input'!$C$158</f>
        <v>Establishment checks (including collection, collation, interpretation and sharing of consistent tree establishment data )</v>
      </c>
      <c r="C294" s="44">
        <f>'Input - Option 2 Detailed Input'!H326</f>
        <v>0</v>
      </c>
      <c r="H294" s="343">
        <f t="shared" si="92"/>
        <v>0</v>
      </c>
      <c r="I294" s="211"/>
      <c r="J294" s="224">
        <f t="shared" ref="J294:Y302" si="94">-IF((J$3=$D$292),($C294)*J$4,)</f>
        <v>0</v>
      </c>
      <c r="K294" s="224">
        <f t="shared" si="94"/>
        <v>0</v>
      </c>
      <c r="L294" s="224">
        <f t="shared" si="94"/>
        <v>0</v>
      </c>
      <c r="M294" s="224">
        <f t="shared" si="94"/>
        <v>0</v>
      </c>
      <c r="N294" s="224">
        <f t="shared" si="94"/>
        <v>0</v>
      </c>
      <c r="O294" s="224">
        <f t="shared" si="94"/>
        <v>0</v>
      </c>
      <c r="P294" s="224">
        <f t="shared" si="94"/>
        <v>0</v>
      </c>
      <c r="Q294" s="224">
        <f t="shared" si="94"/>
        <v>0</v>
      </c>
      <c r="R294" s="224">
        <f t="shared" si="94"/>
        <v>0</v>
      </c>
      <c r="S294" s="224">
        <f t="shared" si="94"/>
        <v>0</v>
      </c>
      <c r="T294" s="224">
        <f t="shared" si="94"/>
        <v>0</v>
      </c>
      <c r="U294" s="224">
        <f t="shared" si="94"/>
        <v>0</v>
      </c>
      <c r="V294" s="224">
        <f t="shared" si="94"/>
        <v>0</v>
      </c>
      <c r="W294" s="224">
        <f t="shared" si="94"/>
        <v>0</v>
      </c>
      <c r="X294" s="224">
        <f t="shared" si="94"/>
        <v>0</v>
      </c>
      <c r="Y294" s="224">
        <f t="shared" si="94"/>
        <v>0</v>
      </c>
      <c r="Z294" s="224">
        <f t="shared" si="93"/>
        <v>0</v>
      </c>
      <c r="AA294" s="224">
        <f t="shared" si="93"/>
        <v>0</v>
      </c>
      <c r="AB294" s="224">
        <f t="shared" si="93"/>
        <v>0</v>
      </c>
      <c r="AC294" s="224">
        <f t="shared" si="93"/>
        <v>0</v>
      </c>
      <c r="AD294" s="224">
        <f t="shared" si="93"/>
        <v>0</v>
      </c>
      <c r="AE294" s="224">
        <f t="shared" si="93"/>
        <v>0</v>
      </c>
      <c r="AF294" s="224">
        <f t="shared" si="93"/>
        <v>0</v>
      </c>
      <c r="AG294" s="224">
        <f t="shared" si="93"/>
        <v>0</v>
      </c>
      <c r="AH294" s="224">
        <f t="shared" si="93"/>
        <v>0</v>
      </c>
      <c r="AI294" s="224">
        <f t="shared" si="93"/>
        <v>0</v>
      </c>
      <c r="AJ294" s="224">
        <f t="shared" si="93"/>
        <v>0</v>
      </c>
      <c r="AK294" s="224">
        <f t="shared" si="93"/>
        <v>0</v>
      </c>
      <c r="AL294" s="224">
        <f t="shared" si="93"/>
        <v>0</v>
      </c>
      <c r="AM294" s="224">
        <f t="shared" si="93"/>
        <v>0</v>
      </c>
      <c r="AN294" s="224">
        <f t="shared" si="93"/>
        <v>0</v>
      </c>
      <c r="AO294" s="224">
        <f t="shared" si="93"/>
        <v>0</v>
      </c>
      <c r="AP294" s="224">
        <f t="shared" si="93"/>
        <v>0</v>
      </c>
      <c r="AQ294" s="224">
        <f t="shared" si="93"/>
        <v>0</v>
      </c>
      <c r="AR294" s="224">
        <f t="shared" si="93"/>
        <v>0</v>
      </c>
      <c r="AS294" s="224">
        <f t="shared" si="93"/>
        <v>0</v>
      </c>
    </row>
    <row r="295" spans="1:45" hidden="1" outlineLevel="2">
      <c r="B295" s="9" t="str">
        <f>'Input - Option 2 Detailed Input'!$C$159</f>
        <v>Maintenance, removal and/or disposal of (where relevant) stakes, ties, and guard, grills, concrete rings, base surrounds, tree protection, etc.</v>
      </c>
      <c r="C295" s="44">
        <f>'Input - Option 2 Detailed Input'!H327</f>
        <v>0</v>
      </c>
      <c r="H295" s="343">
        <f t="shared" si="92"/>
        <v>0</v>
      </c>
      <c r="I295" s="211"/>
      <c r="J295" s="224">
        <f t="shared" si="94"/>
        <v>0</v>
      </c>
      <c r="K295" s="224">
        <f t="shared" si="93"/>
        <v>0</v>
      </c>
      <c r="L295" s="224">
        <f t="shared" si="93"/>
        <v>0</v>
      </c>
      <c r="M295" s="224">
        <f t="shared" si="93"/>
        <v>0</v>
      </c>
      <c r="N295" s="224">
        <f t="shared" si="93"/>
        <v>0</v>
      </c>
      <c r="O295" s="224">
        <f t="shared" si="93"/>
        <v>0</v>
      </c>
      <c r="P295" s="224">
        <f t="shared" si="93"/>
        <v>0</v>
      </c>
      <c r="Q295" s="224">
        <f t="shared" si="93"/>
        <v>0</v>
      </c>
      <c r="R295" s="224">
        <f t="shared" si="93"/>
        <v>0</v>
      </c>
      <c r="S295" s="224">
        <f t="shared" si="93"/>
        <v>0</v>
      </c>
      <c r="T295" s="224">
        <f t="shared" si="93"/>
        <v>0</v>
      </c>
      <c r="U295" s="224">
        <f t="shared" si="93"/>
        <v>0</v>
      </c>
      <c r="V295" s="224">
        <f t="shared" si="93"/>
        <v>0</v>
      </c>
      <c r="W295" s="224">
        <f t="shared" si="93"/>
        <v>0</v>
      </c>
      <c r="X295" s="224">
        <f t="shared" si="93"/>
        <v>0</v>
      </c>
      <c r="Y295" s="224">
        <f t="shared" si="93"/>
        <v>0</v>
      </c>
      <c r="Z295" s="224">
        <f t="shared" si="93"/>
        <v>0</v>
      </c>
      <c r="AA295" s="224">
        <f t="shared" si="93"/>
        <v>0</v>
      </c>
      <c r="AB295" s="224">
        <f t="shared" si="93"/>
        <v>0</v>
      </c>
      <c r="AC295" s="224">
        <f t="shared" si="93"/>
        <v>0</v>
      </c>
      <c r="AD295" s="224">
        <f t="shared" si="93"/>
        <v>0</v>
      </c>
      <c r="AE295" s="224">
        <f t="shared" si="93"/>
        <v>0</v>
      </c>
      <c r="AF295" s="224">
        <f t="shared" si="93"/>
        <v>0</v>
      </c>
      <c r="AG295" s="224">
        <f t="shared" si="93"/>
        <v>0</v>
      </c>
      <c r="AH295" s="224">
        <f t="shared" si="93"/>
        <v>0</v>
      </c>
      <c r="AI295" s="224">
        <f t="shared" si="93"/>
        <v>0</v>
      </c>
      <c r="AJ295" s="224">
        <f t="shared" si="93"/>
        <v>0</v>
      </c>
      <c r="AK295" s="224">
        <f t="shared" si="93"/>
        <v>0</v>
      </c>
      <c r="AL295" s="224">
        <f t="shared" si="93"/>
        <v>0</v>
      </c>
      <c r="AM295" s="224">
        <f t="shared" si="93"/>
        <v>0</v>
      </c>
      <c r="AN295" s="224">
        <f t="shared" si="93"/>
        <v>0</v>
      </c>
      <c r="AO295" s="224">
        <f t="shared" si="93"/>
        <v>0</v>
      </c>
      <c r="AP295" s="224">
        <f t="shared" si="93"/>
        <v>0</v>
      </c>
      <c r="AQ295" s="224">
        <f t="shared" si="93"/>
        <v>0</v>
      </c>
      <c r="AR295" s="224">
        <f t="shared" si="93"/>
        <v>0</v>
      </c>
      <c r="AS295" s="224">
        <f t="shared" si="93"/>
        <v>0</v>
      </c>
    </row>
    <row r="296" spans="1:45" hidden="1" outlineLevel="2">
      <c r="B296" s="9" t="str">
        <f>'Input - Option 2 Detailed Input'!$C$160</f>
        <v xml:space="preserve">Safety inspection cost </v>
      </c>
      <c r="C296" s="44">
        <f>'Input - Option 2 Detailed Input'!H328</f>
        <v>0</v>
      </c>
      <c r="H296" s="343">
        <f t="shared" si="92"/>
        <v>0</v>
      </c>
      <c r="I296" s="211"/>
      <c r="J296" s="224">
        <f t="shared" si="94"/>
        <v>0</v>
      </c>
      <c r="K296" s="224">
        <f t="shared" si="93"/>
        <v>0</v>
      </c>
      <c r="L296" s="224">
        <f t="shared" si="93"/>
        <v>0</v>
      </c>
      <c r="M296" s="224">
        <f t="shared" si="93"/>
        <v>0</v>
      </c>
      <c r="N296" s="224">
        <f t="shared" si="93"/>
        <v>0</v>
      </c>
      <c r="O296" s="224">
        <f t="shared" si="93"/>
        <v>0</v>
      </c>
      <c r="P296" s="224">
        <f t="shared" si="93"/>
        <v>0</v>
      </c>
      <c r="Q296" s="224">
        <f t="shared" si="93"/>
        <v>0</v>
      </c>
      <c r="R296" s="224">
        <f t="shared" si="93"/>
        <v>0</v>
      </c>
      <c r="S296" s="224">
        <f t="shared" si="93"/>
        <v>0</v>
      </c>
      <c r="T296" s="224">
        <f t="shared" si="93"/>
        <v>0</v>
      </c>
      <c r="U296" s="224">
        <f t="shared" si="93"/>
        <v>0</v>
      </c>
      <c r="V296" s="224">
        <f t="shared" si="93"/>
        <v>0</v>
      </c>
      <c r="W296" s="224">
        <f t="shared" si="93"/>
        <v>0</v>
      </c>
      <c r="X296" s="224">
        <f t="shared" si="93"/>
        <v>0</v>
      </c>
      <c r="Y296" s="224">
        <f t="shared" si="93"/>
        <v>0</v>
      </c>
      <c r="Z296" s="224">
        <f t="shared" si="93"/>
        <v>0</v>
      </c>
      <c r="AA296" s="224">
        <f t="shared" si="93"/>
        <v>0</v>
      </c>
      <c r="AB296" s="224">
        <f t="shared" si="93"/>
        <v>0</v>
      </c>
      <c r="AC296" s="224">
        <f t="shared" si="93"/>
        <v>0</v>
      </c>
      <c r="AD296" s="224">
        <f t="shared" si="93"/>
        <v>0</v>
      </c>
      <c r="AE296" s="224">
        <f t="shared" si="93"/>
        <v>0</v>
      </c>
      <c r="AF296" s="224">
        <f t="shared" si="93"/>
        <v>0</v>
      </c>
      <c r="AG296" s="224">
        <f t="shared" si="93"/>
        <v>0</v>
      </c>
      <c r="AH296" s="224">
        <f t="shared" si="93"/>
        <v>0</v>
      </c>
      <c r="AI296" s="224">
        <f t="shared" si="93"/>
        <v>0</v>
      </c>
      <c r="AJ296" s="224">
        <f t="shared" si="93"/>
        <v>0</v>
      </c>
      <c r="AK296" s="224">
        <f t="shared" si="93"/>
        <v>0</v>
      </c>
      <c r="AL296" s="224">
        <f t="shared" si="93"/>
        <v>0</v>
      </c>
      <c r="AM296" s="224">
        <f t="shared" si="93"/>
        <v>0</v>
      </c>
      <c r="AN296" s="224">
        <f t="shared" si="93"/>
        <v>0</v>
      </c>
      <c r="AO296" s="224">
        <f t="shared" si="93"/>
        <v>0</v>
      </c>
      <c r="AP296" s="224">
        <f t="shared" si="93"/>
        <v>0</v>
      </c>
      <c r="AQ296" s="224">
        <f t="shared" si="93"/>
        <v>0</v>
      </c>
      <c r="AR296" s="224">
        <f t="shared" si="93"/>
        <v>0</v>
      </c>
      <c r="AS296" s="224">
        <f t="shared" si="93"/>
        <v>0</v>
      </c>
    </row>
    <row r="297" spans="1:45" hidden="1" outlineLevel="2">
      <c r="B297" s="9" t="str">
        <f>'Input - Option 2 Detailed Input'!$C$161</f>
        <v xml:space="preserve">Crown lifting </v>
      </c>
      <c r="C297" s="44">
        <f>'Input - Option 2 Detailed Input'!H329</f>
        <v>0</v>
      </c>
      <c r="H297" s="343">
        <f t="shared" si="92"/>
        <v>0</v>
      </c>
      <c r="I297" s="211"/>
      <c r="J297" s="224">
        <f t="shared" si="94"/>
        <v>0</v>
      </c>
      <c r="K297" s="224">
        <f t="shared" si="93"/>
        <v>0</v>
      </c>
      <c r="L297" s="224">
        <f t="shared" si="93"/>
        <v>0</v>
      </c>
      <c r="M297" s="224">
        <f t="shared" si="93"/>
        <v>0</v>
      </c>
      <c r="N297" s="224">
        <f t="shared" si="93"/>
        <v>0</v>
      </c>
      <c r="O297" s="224">
        <f t="shared" si="93"/>
        <v>0</v>
      </c>
      <c r="P297" s="224">
        <f t="shared" si="93"/>
        <v>0</v>
      </c>
      <c r="Q297" s="224">
        <f t="shared" si="93"/>
        <v>0</v>
      </c>
      <c r="R297" s="224">
        <f t="shared" si="93"/>
        <v>0</v>
      </c>
      <c r="S297" s="224">
        <f t="shared" si="93"/>
        <v>0</v>
      </c>
      <c r="T297" s="224">
        <f t="shared" si="93"/>
        <v>0</v>
      </c>
      <c r="U297" s="224">
        <f t="shared" si="93"/>
        <v>0</v>
      </c>
      <c r="V297" s="224">
        <f t="shared" si="93"/>
        <v>0</v>
      </c>
      <c r="W297" s="224">
        <f t="shared" si="93"/>
        <v>0</v>
      </c>
      <c r="X297" s="224">
        <f t="shared" si="93"/>
        <v>0</v>
      </c>
      <c r="Y297" s="224">
        <f t="shared" si="93"/>
        <v>0</v>
      </c>
      <c r="Z297" s="224">
        <f t="shared" si="93"/>
        <v>0</v>
      </c>
      <c r="AA297" s="224">
        <f t="shared" si="93"/>
        <v>0</v>
      </c>
      <c r="AB297" s="224">
        <f t="shared" si="93"/>
        <v>0</v>
      </c>
      <c r="AC297" s="224">
        <f t="shared" si="93"/>
        <v>0</v>
      </c>
      <c r="AD297" s="224">
        <f t="shared" si="93"/>
        <v>0</v>
      </c>
      <c r="AE297" s="224">
        <f t="shared" si="93"/>
        <v>0</v>
      </c>
      <c r="AF297" s="224">
        <f t="shared" si="93"/>
        <v>0</v>
      </c>
      <c r="AG297" s="224">
        <f t="shared" si="93"/>
        <v>0</v>
      </c>
      <c r="AH297" s="224">
        <f t="shared" si="93"/>
        <v>0</v>
      </c>
      <c r="AI297" s="224">
        <f t="shared" si="93"/>
        <v>0</v>
      </c>
      <c r="AJ297" s="224">
        <f t="shared" si="93"/>
        <v>0</v>
      </c>
      <c r="AK297" s="224">
        <f t="shared" si="93"/>
        <v>0</v>
      </c>
      <c r="AL297" s="224">
        <f t="shared" si="93"/>
        <v>0</v>
      </c>
      <c r="AM297" s="224">
        <f t="shared" si="93"/>
        <v>0</v>
      </c>
      <c r="AN297" s="224">
        <f t="shared" si="93"/>
        <v>0</v>
      </c>
      <c r="AO297" s="224">
        <f t="shared" si="93"/>
        <v>0</v>
      </c>
      <c r="AP297" s="224">
        <f t="shared" si="93"/>
        <v>0</v>
      </c>
      <c r="AQ297" s="224">
        <f t="shared" si="93"/>
        <v>0</v>
      </c>
      <c r="AR297" s="224">
        <f t="shared" si="93"/>
        <v>0</v>
      </c>
      <c r="AS297" s="224">
        <f t="shared" si="93"/>
        <v>0</v>
      </c>
    </row>
    <row r="298" spans="1:45" hidden="1" outlineLevel="2">
      <c r="B298" s="9" t="str">
        <f>'Input - Option 2 Detailed Input'!$C$162</f>
        <v>Deadwood cleanout</v>
      </c>
      <c r="C298" s="44">
        <f>'Input - Option 2 Detailed Input'!H330</f>
        <v>0</v>
      </c>
      <c r="H298" s="343">
        <f t="shared" si="92"/>
        <v>0</v>
      </c>
      <c r="I298" s="211"/>
      <c r="J298" s="224">
        <f t="shared" si="94"/>
        <v>0</v>
      </c>
      <c r="K298" s="224">
        <f t="shared" si="93"/>
        <v>0</v>
      </c>
      <c r="L298" s="224">
        <f t="shared" si="93"/>
        <v>0</v>
      </c>
      <c r="M298" s="224">
        <f t="shared" si="93"/>
        <v>0</v>
      </c>
      <c r="N298" s="224">
        <f t="shared" si="93"/>
        <v>0</v>
      </c>
      <c r="O298" s="224">
        <f t="shared" si="93"/>
        <v>0</v>
      </c>
      <c r="P298" s="224">
        <f t="shared" si="93"/>
        <v>0</v>
      </c>
      <c r="Q298" s="224">
        <f t="shared" si="93"/>
        <v>0</v>
      </c>
      <c r="R298" s="224">
        <f t="shared" si="93"/>
        <v>0</v>
      </c>
      <c r="S298" s="224">
        <f t="shared" si="93"/>
        <v>0</v>
      </c>
      <c r="T298" s="224">
        <f t="shared" si="93"/>
        <v>0</v>
      </c>
      <c r="U298" s="224">
        <f t="shared" si="93"/>
        <v>0</v>
      </c>
      <c r="V298" s="224">
        <f t="shared" si="93"/>
        <v>0</v>
      </c>
      <c r="W298" s="224">
        <f t="shared" si="93"/>
        <v>0</v>
      </c>
      <c r="X298" s="224">
        <f t="shared" si="93"/>
        <v>0</v>
      </c>
      <c r="Y298" s="224">
        <f t="shared" si="93"/>
        <v>0</v>
      </c>
      <c r="Z298" s="224">
        <f t="shared" si="93"/>
        <v>0</v>
      </c>
      <c r="AA298" s="224">
        <f t="shared" si="93"/>
        <v>0</v>
      </c>
      <c r="AB298" s="224">
        <f t="shared" si="93"/>
        <v>0</v>
      </c>
      <c r="AC298" s="224">
        <f t="shared" si="93"/>
        <v>0</v>
      </c>
      <c r="AD298" s="224">
        <f t="shared" si="93"/>
        <v>0</v>
      </c>
      <c r="AE298" s="224">
        <f t="shared" si="93"/>
        <v>0</v>
      </c>
      <c r="AF298" s="224">
        <f t="shared" si="93"/>
        <v>0</v>
      </c>
      <c r="AG298" s="224">
        <f t="shared" si="93"/>
        <v>0</v>
      </c>
      <c r="AH298" s="224">
        <f t="shared" si="93"/>
        <v>0</v>
      </c>
      <c r="AI298" s="224">
        <f t="shared" si="93"/>
        <v>0</v>
      </c>
      <c r="AJ298" s="224">
        <f t="shared" si="93"/>
        <v>0</v>
      </c>
      <c r="AK298" s="224">
        <f t="shared" si="93"/>
        <v>0</v>
      </c>
      <c r="AL298" s="224">
        <f t="shared" si="93"/>
        <v>0</v>
      </c>
      <c r="AM298" s="224">
        <f t="shared" si="93"/>
        <v>0</v>
      </c>
      <c r="AN298" s="224">
        <f t="shared" si="93"/>
        <v>0</v>
      </c>
      <c r="AO298" s="224">
        <f t="shared" si="93"/>
        <v>0</v>
      </c>
      <c r="AP298" s="224">
        <f t="shared" si="93"/>
        <v>0</v>
      </c>
      <c r="AQ298" s="224">
        <f t="shared" si="93"/>
        <v>0</v>
      </c>
      <c r="AR298" s="224">
        <f t="shared" si="93"/>
        <v>0</v>
      </c>
      <c r="AS298" s="224">
        <f t="shared" si="93"/>
        <v>0</v>
      </c>
    </row>
    <row r="299" spans="1:45" hidden="1" outlineLevel="2">
      <c r="B299" s="9" t="str">
        <f>'Input - Option 2 Detailed Input'!$C$163</f>
        <v>Additional costs related for specialist pruning regimes</v>
      </c>
      <c r="C299" s="44">
        <f>'Input - Option 2 Detailed Input'!H331</f>
        <v>0</v>
      </c>
      <c r="H299" s="343">
        <f t="shared" si="92"/>
        <v>0</v>
      </c>
      <c r="I299" s="211"/>
      <c r="J299" s="224">
        <f t="shared" si="94"/>
        <v>0</v>
      </c>
      <c r="K299" s="224">
        <f t="shared" si="93"/>
        <v>0</v>
      </c>
      <c r="L299" s="224">
        <f t="shared" si="93"/>
        <v>0</v>
      </c>
      <c r="M299" s="224">
        <f t="shared" si="93"/>
        <v>0</v>
      </c>
      <c r="N299" s="224">
        <f t="shared" si="93"/>
        <v>0</v>
      </c>
      <c r="O299" s="224">
        <f t="shared" si="93"/>
        <v>0</v>
      </c>
      <c r="P299" s="224">
        <f t="shared" si="93"/>
        <v>0</v>
      </c>
      <c r="Q299" s="224">
        <f t="shared" si="93"/>
        <v>0</v>
      </c>
      <c r="R299" s="224">
        <f t="shared" si="93"/>
        <v>0</v>
      </c>
      <c r="S299" s="224">
        <f t="shared" si="93"/>
        <v>0</v>
      </c>
      <c r="T299" s="224">
        <f t="shared" si="93"/>
        <v>0</v>
      </c>
      <c r="U299" s="224">
        <f t="shared" si="93"/>
        <v>0</v>
      </c>
      <c r="V299" s="224">
        <f t="shared" si="93"/>
        <v>0</v>
      </c>
      <c r="W299" s="224">
        <f t="shared" si="93"/>
        <v>0</v>
      </c>
      <c r="X299" s="224">
        <f t="shared" si="93"/>
        <v>0</v>
      </c>
      <c r="Y299" s="224">
        <f t="shared" si="93"/>
        <v>0</v>
      </c>
      <c r="Z299" s="224">
        <f t="shared" si="93"/>
        <v>0</v>
      </c>
      <c r="AA299" s="224">
        <f t="shared" si="93"/>
        <v>0</v>
      </c>
      <c r="AB299" s="224">
        <f t="shared" si="93"/>
        <v>0</v>
      </c>
      <c r="AC299" s="224">
        <f t="shared" si="93"/>
        <v>0</v>
      </c>
      <c r="AD299" s="224">
        <f t="shared" si="93"/>
        <v>0</v>
      </c>
      <c r="AE299" s="224">
        <f t="shared" si="93"/>
        <v>0</v>
      </c>
      <c r="AF299" s="224">
        <f t="shared" si="93"/>
        <v>0</v>
      </c>
      <c r="AG299" s="224">
        <f t="shared" si="93"/>
        <v>0</v>
      </c>
      <c r="AH299" s="224">
        <f t="shared" si="93"/>
        <v>0</v>
      </c>
      <c r="AI299" s="224">
        <f t="shared" si="93"/>
        <v>0</v>
      </c>
      <c r="AJ299" s="224">
        <f t="shared" si="93"/>
        <v>0</v>
      </c>
      <c r="AK299" s="224">
        <f t="shared" si="93"/>
        <v>0</v>
      </c>
      <c r="AL299" s="224">
        <f t="shared" si="93"/>
        <v>0</v>
      </c>
      <c r="AM299" s="224">
        <f t="shared" si="93"/>
        <v>0</v>
      </c>
      <c r="AN299" s="224">
        <f t="shared" si="93"/>
        <v>0</v>
      </c>
      <c r="AO299" s="224">
        <f t="shared" si="93"/>
        <v>0</v>
      </c>
      <c r="AP299" s="224">
        <f t="shared" si="93"/>
        <v>0</v>
      </c>
      <c r="AQ299" s="224">
        <f t="shared" si="93"/>
        <v>0</v>
      </c>
      <c r="AR299" s="224">
        <f t="shared" si="93"/>
        <v>0</v>
      </c>
      <c r="AS299" s="224">
        <f t="shared" si="93"/>
        <v>0</v>
      </c>
    </row>
    <row r="300" spans="1:45" hidden="1" outlineLevel="2">
      <c r="B300" s="9" t="str">
        <f>'Input - Option 2 Detailed Input'!$C$164</f>
        <v>Weeding</v>
      </c>
      <c r="C300" s="44">
        <f>'Input - Option 2 Detailed Input'!H332</f>
        <v>0</v>
      </c>
      <c r="H300" s="343">
        <f t="shared" si="92"/>
        <v>0</v>
      </c>
      <c r="I300" s="211"/>
      <c r="J300" s="224">
        <f t="shared" si="94"/>
        <v>0</v>
      </c>
      <c r="K300" s="224">
        <f t="shared" si="93"/>
        <v>0</v>
      </c>
      <c r="L300" s="224">
        <f t="shared" si="93"/>
        <v>0</v>
      </c>
      <c r="M300" s="224">
        <f t="shared" si="93"/>
        <v>0</v>
      </c>
      <c r="N300" s="224">
        <f t="shared" si="93"/>
        <v>0</v>
      </c>
      <c r="O300" s="224">
        <f t="shared" si="93"/>
        <v>0</v>
      </c>
      <c r="P300" s="224">
        <f t="shared" si="93"/>
        <v>0</v>
      </c>
      <c r="Q300" s="224">
        <f t="shared" si="93"/>
        <v>0</v>
      </c>
      <c r="R300" s="224">
        <f t="shared" si="93"/>
        <v>0</v>
      </c>
      <c r="S300" s="224">
        <f t="shared" si="93"/>
        <v>0</v>
      </c>
      <c r="T300" s="224">
        <f t="shared" si="93"/>
        <v>0</v>
      </c>
      <c r="U300" s="224">
        <f t="shared" si="93"/>
        <v>0</v>
      </c>
      <c r="V300" s="224">
        <f t="shared" si="93"/>
        <v>0</v>
      </c>
      <c r="W300" s="224">
        <f t="shared" si="93"/>
        <v>0</v>
      </c>
      <c r="X300" s="224">
        <f t="shared" si="93"/>
        <v>0</v>
      </c>
      <c r="Y300" s="224">
        <f t="shared" si="93"/>
        <v>0</v>
      </c>
      <c r="Z300" s="224">
        <f t="shared" si="93"/>
        <v>0</v>
      </c>
      <c r="AA300" s="224">
        <f t="shared" si="93"/>
        <v>0</v>
      </c>
      <c r="AB300" s="224">
        <f t="shared" si="93"/>
        <v>0</v>
      </c>
      <c r="AC300" s="224">
        <f t="shared" si="93"/>
        <v>0</v>
      </c>
      <c r="AD300" s="224">
        <f t="shared" si="93"/>
        <v>0</v>
      </c>
      <c r="AE300" s="224">
        <f t="shared" si="93"/>
        <v>0</v>
      </c>
      <c r="AF300" s="224">
        <f t="shared" si="93"/>
        <v>0</v>
      </c>
      <c r="AG300" s="224">
        <f t="shared" si="93"/>
        <v>0</v>
      </c>
      <c r="AH300" s="224">
        <f t="shared" si="93"/>
        <v>0</v>
      </c>
      <c r="AI300" s="224">
        <f t="shared" si="93"/>
        <v>0</v>
      </c>
      <c r="AJ300" s="224">
        <f t="shared" ref="K300:AS302" si="95">-IF((AJ$3=$D$292),($C300)*AJ$4,)</f>
        <v>0</v>
      </c>
      <c r="AK300" s="224">
        <f t="shared" si="95"/>
        <v>0</v>
      </c>
      <c r="AL300" s="224">
        <f t="shared" si="95"/>
        <v>0</v>
      </c>
      <c r="AM300" s="224">
        <f t="shared" si="95"/>
        <v>0</v>
      </c>
      <c r="AN300" s="224">
        <f t="shared" si="95"/>
        <v>0</v>
      </c>
      <c r="AO300" s="224">
        <f t="shared" si="95"/>
        <v>0</v>
      </c>
      <c r="AP300" s="224">
        <f t="shared" si="95"/>
        <v>0</v>
      </c>
      <c r="AQ300" s="224">
        <f t="shared" si="95"/>
        <v>0</v>
      </c>
      <c r="AR300" s="224">
        <f t="shared" si="95"/>
        <v>0</v>
      </c>
      <c r="AS300" s="224">
        <f t="shared" si="95"/>
        <v>0</v>
      </c>
    </row>
    <row r="301" spans="1:45" hidden="1" outlineLevel="2">
      <c r="B301" s="9" t="str">
        <f>'Input - Option 2 Detailed Input'!$C$165</f>
        <v>Epicormic growth removal </v>
      </c>
      <c r="C301" s="44">
        <f>'Input - Option 2 Detailed Input'!H333</f>
        <v>0</v>
      </c>
      <c r="H301" s="343">
        <f t="shared" si="92"/>
        <v>0</v>
      </c>
      <c r="I301" s="211"/>
      <c r="J301" s="224">
        <f t="shared" si="94"/>
        <v>0</v>
      </c>
      <c r="K301" s="224">
        <f t="shared" si="95"/>
        <v>0</v>
      </c>
      <c r="L301" s="224">
        <f t="shared" si="95"/>
        <v>0</v>
      </c>
      <c r="M301" s="224">
        <f t="shared" si="95"/>
        <v>0</v>
      </c>
      <c r="N301" s="224">
        <f t="shared" si="95"/>
        <v>0</v>
      </c>
      <c r="O301" s="224">
        <f t="shared" si="95"/>
        <v>0</v>
      </c>
      <c r="P301" s="224">
        <f t="shared" si="95"/>
        <v>0</v>
      </c>
      <c r="Q301" s="224">
        <f t="shared" si="95"/>
        <v>0</v>
      </c>
      <c r="R301" s="224">
        <f t="shared" si="95"/>
        <v>0</v>
      </c>
      <c r="S301" s="224">
        <f t="shared" si="95"/>
        <v>0</v>
      </c>
      <c r="T301" s="224">
        <f t="shared" si="95"/>
        <v>0</v>
      </c>
      <c r="U301" s="224">
        <f t="shared" si="95"/>
        <v>0</v>
      </c>
      <c r="V301" s="224">
        <f t="shared" si="95"/>
        <v>0</v>
      </c>
      <c r="W301" s="224">
        <f t="shared" si="95"/>
        <v>0</v>
      </c>
      <c r="X301" s="224">
        <f t="shared" si="95"/>
        <v>0</v>
      </c>
      <c r="Y301" s="224">
        <f t="shared" si="95"/>
        <v>0</v>
      </c>
      <c r="Z301" s="224">
        <f t="shared" si="95"/>
        <v>0</v>
      </c>
      <c r="AA301" s="224">
        <f t="shared" si="95"/>
        <v>0</v>
      </c>
      <c r="AB301" s="224">
        <f t="shared" si="95"/>
        <v>0</v>
      </c>
      <c r="AC301" s="224">
        <f t="shared" si="95"/>
        <v>0</v>
      </c>
      <c r="AD301" s="224">
        <f t="shared" si="95"/>
        <v>0</v>
      </c>
      <c r="AE301" s="224">
        <f t="shared" si="95"/>
        <v>0</v>
      </c>
      <c r="AF301" s="224">
        <f t="shared" si="95"/>
        <v>0</v>
      </c>
      <c r="AG301" s="224">
        <f t="shared" si="95"/>
        <v>0</v>
      </c>
      <c r="AH301" s="224">
        <f t="shared" si="95"/>
        <v>0</v>
      </c>
      <c r="AI301" s="224">
        <f t="shared" si="95"/>
        <v>0</v>
      </c>
      <c r="AJ301" s="224">
        <f t="shared" si="95"/>
        <v>0</v>
      </c>
      <c r="AK301" s="224">
        <f t="shared" si="95"/>
        <v>0</v>
      </c>
      <c r="AL301" s="224">
        <f t="shared" si="95"/>
        <v>0</v>
      </c>
      <c r="AM301" s="224">
        <f t="shared" si="95"/>
        <v>0</v>
      </c>
      <c r="AN301" s="224">
        <f t="shared" si="95"/>
        <v>0</v>
      </c>
      <c r="AO301" s="224">
        <f t="shared" si="95"/>
        <v>0</v>
      </c>
      <c r="AP301" s="224">
        <f t="shared" si="95"/>
        <v>0</v>
      </c>
      <c r="AQ301" s="224">
        <f t="shared" si="95"/>
        <v>0</v>
      </c>
      <c r="AR301" s="224">
        <f t="shared" si="95"/>
        <v>0</v>
      </c>
      <c r="AS301" s="224">
        <f t="shared" si="95"/>
        <v>0</v>
      </c>
    </row>
    <row r="302" spans="1:45" hidden="1" outlineLevel="2">
      <c r="B302" s="9" t="str">
        <f>'Input - Option 2 Detailed Input'!$C$166</f>
        <v xml:space="preserve">Costs associated with standpipes </v>
      </c>
      <c r="C302" s="44">
        <f>'Input - Option 2 Detailed Input'!H334</f>
        <v>0</v>
      </c>
      <c r="H302" s="343">
        <f t="shared" si="92"/>
        <v>0</v>
      </c>
      <c r="I302" s="211"/>
      <c r="J302" s="224">
        <f t="shared" si="94"/>
        <v>0</v>
      </c>
      <c r="K302" s="224">
        <f t="shared" si="95"/>
        <v>0</v>
      </c>
      <c r="L302" s="224">
        <f t="shared" si="95"/>
        <v>0</v>
      </c>
      <c r="M302" s="224">
        <f t="shared" si="95"/>
        <v>0</v>
      </c>
      <c r="N302" s="224">
        <f t="shared" si="95"/>
        <v>0</v>
      </c>
      <c r="O302" s="224">
        <f t="shared" si="95"/>
        <v>0</v>
      </c>
      <c r="P302" s="224">
        <f t="shared" si="95"/>
        <v>0</v>
      </c>
      <c r="Q302" s="224">
        <f t="shared" si="95"/>
        <v>0</v>
      </c>
      <c r="R302" s="224">
        <f t="shared" si="95"/>
        <v>0</v>
      </c>
      <c r="S302" s="224">
        <f t="shared" si="95"/>
        <v>0</v>
      </c>
      <c r="T302" s="224">
        <f t="shared" si="95"/>
        <v>0</v>
      </c>
      <c r="U302" s="224">
        <f t="shared" si="95"/>
        <v>0</v>
      </c>
      <c r="V302" s="224">
        <f t="shared" si="95"/>
        <v>0</v>
      </c>
      <c r="W302" s="224">
        <f t="shared" si="95"/>
        <v>0</v>
      </c>
      <c r="X302" s="224">
        <f t="shared" si="95"/>
        <v>0</v>
      </c>
      <c r="Y302" s="224">
        <f t="shared" si="95"/>
        <v>0</v>
      </c>
      <c r="Z302" s="224">
        <f t="shared" si="95"/>
        <v>0</v>
      </c>
      <c r="AA302" s="224">
        <f t="shared" si="95"/>
        <v>0</v>
      </c>
      <c r="AB302" s="224">
        <f t="shared" si="95"/>
        <v>0</v>
      </c>
      <c r="AC302" s="224">
        <f t="shared" si="95"/>
        <v>0</v>
      </c>
      <c r="AD302" s="224">
        <f t="shared" si="95"/>
        <v>0</v>
      </c>
      <c r="AE302" s="224">
        <f t="shared" si="95"/>
        <v>0</v>
      </c>
      <c r="AF302" s="224">
        <f t="shared" si="95"/>
        <v>0</v>
      </c>
      <c r="AG302" s="224">
        <f t="shared" si="95"/>
        <v>0</v>
      </c>
      <c r="AH302" s="224">
        <f t="shared" si="95"/>
        <v>0</v>
      </c>
      <c r="AI302" s="224">
        <f t="shared" si="95"/>
        <v>0</v>
      </c>
      <c r="AJ302" s="224">
        <f t="shared" si="95"/>
        <v>0</v>
      </c>
      <c r="AK302" s="224">
        <f t="shared" si="95"/>
        <v>0</v>
      </c>
      <c r="AL302" s="224">
        <f t="shared" si="95"/>
        <v>0</v>
      </c>
      <c r="AM302" s="224">
        <f t="shared" si="95"/>
        <v>0</v>
      </c>
      <c r="AN302" s="224">
        <f t="shared" si="95"/>
        <v>0</v>
      </c>
      <c r="AO302" s="224">
        <f t="shared" si="95"/>
        <v>0</v>
      </c>
      <c r="AP302" s="224">
        <f t="shared" si="95"/>
        <v>0</v>
      </c>
      <c r="AQ302" s="224">
        <f t="shared" si="95"/>
        <v>0</v>
      </c>
      <c r="AR302" s="224">
        <f t="shared" si="95"/>
        <v>0</v>
      </c>
      <c r="AS302" s="224">
        <f t="shared" si="95"/>
        <v>0</v>
      </c>
    </row>
    <row r="303" spans="1:45" hidden="1" outlineLevel="2">
      <c r="H303" s="343"/>
      <c r="I303" s="213"/>
      <c r="J303" s="224"/>
      <c r="K303" s="224"/>
      <c r="L303" s="224"/>
      <c r="M303" s="224"/>
      <c r="N303" s="224"/>
      <c r="O303" s="224"/>
      <c r="P303" s="224"/>
      <c r="Q303" s="224"/>
      <c r="R303" s="224"/>
      <c r="S303" s="224"/>
      <c r="T303" s="224"/>
      <c r="U303" s="224"/>
      <c r="V303" s="224"/>
      <c r="W303" s="224"/>
      <c r="X303" s="224"/>
      <c r="Y303" s="224"/>
      <c r="Z303" s="224"/>
      <c r="AA303" s="224"/>
      <c r="AB303" s="224"/>
      <c r="AC303" s="224"/>
      <c r="AD303" s="224"/>
      <c r="AE303" s="224"/>
      <c r="AF303" s="224"/>
      <c r="AG303" s="224"/>
      <c r="AH303" s="224"/>
      <c r="AI303" s="224"/>
      <c r="AJ303" s="224"/>
      <c r="AK303" s="224"/>
      <c r="AL303" s="224"/>
      <c r="AM303" s="224"/>
      <c r="AN303" s="224"/>
      <c r="AO303" s="224"/>
      <c r="AP303" s="224"/>
      <c r="AQ303" s="224"/>
      <c r="AR303" s="224"/>
      <c r="AS303" s="224"/>
    </row>
    <row r="304" spans="1:45" hidden="1" outlineLevel="2">
      <c r="B304" s="103" t="str">
        <f>'Input - Option 2 Detailed Input'!C336</f>
        <v>Year 9 - Additional Costs</v>
      </c>
      <c r="C304" s="25" t="str">
        <f>'Input - Option 2 Detailed Input'!G336</f>
        <v>Total Costs (per visit)</v>
      </c>
      <c r="H304" s="343"/>
      <c r="I304" s="213"/>
      <c r="J304" s="224"/>
      <c r="K304" s="224"/>
      <c r="L304" s="224"/>
      <c r="M304" s="224"/>
      <c r="N304" s="224"/>
      <c r="O304" s="224"/>
      <c r="P304" s="224"/>
      <c r="Q304" s="224"/>
      <c r="R304" s="224"/>
      <c r="S304" s="224"/>
      <c r="T304" s="224"/>
      <c r="U304" s="224"/>
      <c r="V304" s="224"/>
      <c r="W304" s="224"/>
      <c r="X304" s="224"/>
      <c r="Y304" s="224"/>
      <c r="Z304" s="224"/>
      <c r="AA304" s="224"/>
      <c r="AB304" s="224"/>
      <c r="AC304" s="224"/>
      <c r="AD304" s="224"/>
      <c r="AE304" s="224"/>
      <c r="AF304" s="224"/>
      <c r="AG304" s="224"/>
      <c r="AH304" s="224"/>
      <c r="AI304" s="224"/>
      <c r="AJ304" s="224"/>
      <c r="AK304" s="224"/>
      <c r="AL304" s="224"/>
      <c r="AM304" s="224"/>
      <c r="AN304" s="224"/>
      <c r="AO304" s="224"/>
      <c r="AP304" s="224"/>
      <c r="AQ304" s="224"/>
      <c r="AR304" s="224"/>
      <c r="AS304" s="224"/>
    </row>
    <row r="305" spans="1:45" hidden="1" outlineLevel="2">
      <c r="B305" s="9" t="str">
        <f>'Input - Option 2 Detailed Input'!C337</f>
        <v xml:space="preserve">[Additional costs #1] </v>
      </c>
      <c r="C305" s="44">
        <f>'Input - Option 2 Detailed Input'!G337</f>
        <v>0</v>
      </c>
      <c r="H305" s="343">
        <f>SUM(J305:EJ305)</f>
        <v>0</v>
      </c>
      <c r="I305" s="211"/>
      <c r="J305" s="224">
        <f>-IF((J$3=$D$292),($C305)*J$4,)</f>
        <v>0</v>
      </c>
      <c r="K305" s="224">
        <f t="shared" ref="K305:AS309" si="96">-IF((K$3=$D$292),($C305)*K$4,)</f>
        <v>0</v>
      </c>
      <c r="L305" s="224">
        <f t="shared" si="96"/>
        <v>0</v>
      </c>
      <c r="M305" s="224">
        <f t="shared" si="96"/>
        <v>0</v>
      </c>
      <c r="N305" s="224">
        <f t="shared" si="96"/>
        <v>0</v>
      </c>
      <c r="O305" s="224">
        <f t="shared" si="96"/>
        <v>0</v>
      </c>
      <c r="P305" s="224">
        <f t="shared" si="96"/>
        <v>0</v>
      </c>
      <c r="Q305" s="224">
        <f t="shared" si="96"/>
        <v>0</v>
      </c>
      <c r="R305" s="224">
        <f t="shared" si="96"/>
        <v>0</v>
      </c>
      <c r="S305" s="224">
        <f t="shared" si="96"/>
        <v>0</v>
      </c>
      <c r="T305" s="224">
        <f t="shared" si="96"/>
        <v>0</v>
      </c>
      <c r="U305" s="224">
        <f t="shared" si="96"/>
        <v>0</v>
      </c>
      <c r="V305" s="224">
        <f t="shared" si="96"/>
        <v>0</v>
      </c>
      <c r="W305" s="224">
        <f t="shared" si="96"/>
        <v>0</v>
      </c>
      <c r="X305" s="224">
        <f t="shared" si="96"/>
        <v>0</v>
      </c>
      <c r="Y305" s="224">
        <f t="shared" si="96"/>
        <v>0</v>
      </c>
      <c r="Z305" s="224">
        <f t="shared" si="96"/>
        <v>0</v>
      </c>
      <c r="AA305" s="224">
        <f t="shared" si="96"/>
        <v>0</v>
      </c>
      <c r="AB305" s="224">
        <f t="shared" si="96"/>
        <v>0</v>
      </c>
      <c r="AC305" s="224">
        <f t="shared" si="96"/>
        <v>0</v>
      </c>
      <c r="AD305" s="224">
        <f t="shared" si="96"/>
        <v>0</v>
      </c>
      <c r="AE305" s="224">
        <f t="shared" si="96"/>
        <v>0</v>
      </c>
      <c r="AF305" s="224">
        <f t="shared" si="96"/>
        <v>0</v>
      </c>
      <c r="AG305" s="224">
        <f t="shared" si="96"/>
        <v>0</v>
      </c>
      <c r="AH305" s="224">
        <f t="shared" si="96"/>
        <v>0</v>
      </c>
      <c r="AI305" s="224">
        <f t="shared" si="96"/>
        <v>0</v>
      </c>
      <c r="AJ305" s="224">
        <f t="shared" si="96"/>
        <v>0</v>
      </c>
      <c r="AK305" s="224">
        <f t="shared" si="96"/>
        <v>0</v>
      </c>
      <c r="AL305" s="224">
        <f t="shared" si="96"/>
        <v>0</v>
      </c>
      <c r="AM305" s="224">
        <f t="shared" si="96"/>
        <v>0</v>
      </c>
      <c r="AN305" s="224">
        <f t="shared" si="96"/>
        <v>0</v>
      </c>
      <c r="AO305" s="224">
        <f t="shared" si="96"/>
        <v>0</v>
      </c>
      <c r="AP305" s="224">
        <f t="shared" si="96"/>
        <v>0</v>
      </c>
      <c r="AQ305" s="224">
        <f t="shared" si="96"/>
        <v>0</v>
      </c>
      <c r="AR305" s="224">
        <f t="shared" si="96"/>
        <v>0</v>
      </c>
      <c r="AS305" s="224">
        <f t="shared" si="96"/>
        <v>0</v>
      </c>
    </row>
    <row r="306" spans="1:45" hidden="1" outlineLevel="2">
      <c r="B306" s="9" t="str">
        <f>'Input - Option 2 Detailed Input'!C338</f>
        <v>[Additional costs #2]</v>
      </c>
      <c r="C306" s="44">
        <f>'Input - Option 2 Detailed Input'!G338</f>
        <v>0</v>
      </c>
      <c r="H306" s="343">
        <f>SUM(J306:EJ306)</f>
        <v>0</v>
      </c>
      <c r="I306" s="211"/>
      <c r="J306" s="224">
        <f t="shared" ref="J306:Y309" si="97">-IF((J$3=$D$292),($C306)*J$4,)</f>
        <v>0</v>
      </c>
      <c r="K306" s="224">
        <f t="shared" si="97"/>
        <v>0</v>
      </c>
      <c r="L306" s="224">
        <f t="shared" si="97"/>
        <v>0</v>
      </c>
      <c r="M306" s="224">
        <f t="shared" si="97"/>
        <v>0</v>
      </c>
      <c r="N306" s="224">
        <f t="shared" si="97"/>
        <v>0</v>
      </c>
      <c r="O306" s="224">
        <f t="shared" si="97"/>
        <v>0</v>
      </c>
      <c r="P306" s="224">
        <f t="shared" si="97"/>
        <v>0</v>
      </c>
      <c r="Q306" s="224">
        <f t="shared" si="97"/>
        <v>0</v>
      </c>
      <c r="R306" s="224">
        <f t="shared" si="97"/>
        <v>0</v>
      </c>
      <c r="S306" s="224">
        <f t="shared" si="97"/>
        <v>0</v>
      </c>
      <c r="T306" s="224">
        <f t="shared" si="97"/>
        <v>0</v>
      </c>
      <c r="U306" s="224">
        <f t="shared" si="97"/>
        <v>0</v>
      </c>
      <c r="V306" s="224">
        <f t="shared" si="97"/>
        <v>0</v>
      </c>
      <c r="W306" s="224">
        <f t="shared" si="97"/>
        <v>0</v>
      </c>
      <c r="X306" s="224">
        <f t="shared" si="97"/>
        <v>0</v>
      </c>
      <c r="Y306" s="224">
        <f t="shared" si="97"/>
        <v>0</v>
      </c>
      <c r="Z306" s="224">
        <f t="shared" si="96"/>
        <v>0</v>
      </c>
      <c r="AA306" s="224">
        <f t="shared" si="96"/>
        <v>0</v>
      </c>
      <c r="AB306" s="224">
        <f t="shared" si="96"/>
        <v>0</v>
      </c>
      <c r="AC306" s="224">
        <f t="shared" si="96"/>
        <v>0</v>
      </c>
      <c r="AD306" s="224">
        <f t="shared" si="96"/>
        <v>0</v>
      </c>
      <c r="AE306" s="224">
        <f t="shared" si="96"/>
        <v>0</v>
      </c>
      <c r="AF306" s="224">
        <f t="shared" si="96"/>
        <v>0</v>
      </c>
      <c r="AG306" s="224">
        <f t="shared" si="96"/>
        <v>0</v>
      </c>
      <c r="AH306" s="224">
        <f t="shared" si="96"/>
        <v>0</v>
      </c>
      <c r="AI306" s="224">
        <f t="shared" si="96"/>
        <v>0</v>
      </c>
      <c r="AJ306" s="224">
        <f t="shared" si="96"/>
        <v>0</v>
      </c>
      <c r="AK306" s="224">
        <f t="shared" si="96"/>
        <v>0</v>
      </c>
      <c r="AL306" s="224">
        <f t="shared" si="96"/>
        <v>0</v>
      </c>
      <c r="AM306" s="224">
        <f t="shared" si="96"/>
        <v>0</v>
      </c>
      <c r="AN306" s="224">
        <f t="shared" si="96"/>
        <v>0</v>
      </c>
      <c r="AO306" s="224">
        <f t="shared" si="96"/>
        <v>0</v>
      </c>
      <c r="AP306" s="224">
        <f t="shared" si="96"/>
        <v>0</v>
      </c>
      <c r="AQ306" s="224">
        <f t="shared" si="96"/>
        <v>0</v>
      </c>
      <c r="AR306" s="224">
        <f t="shared" si="96"/>
        <v>0</v>
      </c>
      <c r="AS306" s="224">
        <f t="shared" si="96"/>
        <v>0</v>
      </c>
    </row>
    <row r="307" spans="1:45" hidden="1" outlineLevel="2">
      <c r="B307" s="9" t="str">
        <f>'Input - Option 2 Detailed Input'!C339</f>
        <v xml:space="preserve">[Additional costs #3] </v>
      </c>
      <c r="C307" s="44">
        <f>'Input - Option 2 Detailed Input'!G339</f>
        <v>0</v>
      </c>
      <c r="H307" s="343">
        <f>SUM(J307:EJ307)</f>
        <v>0</v>
      </c>
      <c r="I307" s="211"/>
      <c r="J307" s="224">
        <f t="shared" si="97"/>
        <v>0</v>
      </c>
      <c r="K307" s="224">
        <f t="shared" si="96"/>
        <v>0</v>
      </c>
      <c r="L307" s="224">
        <f t="shared" si="96"/>
        <v>0</v>
      </c>
      <c r="M307" s="224">
        <f t="shared" si="96"/>
        <v>0</v>
      </c>
      <c r="N307" s="224">
        <f t="shared" si="96"/>
        <v>0</v>
      </c>
      <c r="O307" s="224">
        <f t="shared" si="96"/>
        <v>0</v>
      </c>
      <c r="P307" s="224">
        <f t="shared" si="96"/>
        <v>0</v>
      </c>
      <c r="Q307" s="224">
        <f t="shared" si="96"/>
        <v>0</v>
      </c>
      <c r="R307" s="224">
        <f t="shared" si="96"/>
        <v>0</v>
      </c>
      <c r="S307" s="224">
        <f t="shared" si="96"/>
        <v>0</v>
      </c>
      <c r="T307" s="224">
        <f t="shared" si="96"/>
        <v>0</v>
      </c>
      <c r="U307" s="224">
        <f t="shared" si="96"/>
        <v>0</v>
      </c>
      <c r="V307" s="224">
        <f t="shared" si="96"/>
        <v>0</v>
      </c>
      <c r="W307" s="224">
        <f t="shared" si="96"/>
        <v>0</v>
      </c>
      <c r="X307" s="224">
        <f t="shared" si="96"/>
        <v>0</v>
      </c>
      <c r="Y307" s="224">
        <f t="shared" si="96"/>
        <v>0</v>
      </c>
      <c r="Z307" s="224">
        <f t="shared" si="96"/>
        <v>0</v>
      </c>
      <c r="AA307" s="224">
        <f t="shared" si="96"/>
        <v>0</v>
      </c>
      <c r="AB307" s="224">
        <f t="shared" si="96"/>
        <v>0</v>
      </c>
      <c r="AC307" s="224">
        <f t="shared" si="96"/>
        <v>0</v>
      </c>
      <c r="AD307" s="224">
        <f t="shared" si="96"/>
        <v>0</v>
      </c>
      <c r="AE307" s="224">
        <f t="shared" si="96"/>
        <v>0</v>
      </c>
      <c r="AF307" s="224">
        <f t="shared" si="96"/>
        <v>0</v>
      </c>
      <c r="AG307" s="224">
        <f t="shared" si="96"/>
        <v>0</v>
      </c>
      <c r="AH307" s="224">
        <f t="shared" si="96"/>
        <v>0</v>
      </c>
      <c r="AI307" s="224">
        <f t="shared" si="96"/>
        <v>0</v>
      </c>
      <c r="AJ307" s="224">
        <f t="shared" si="96"/>
        <v>0</v>
      </c>
      <c r="AK307" s="224">
        <f t="shared" si="96"/>
        <v>0</v>
      </c>
      <c r="AL307" s="224">
        <f t="shared" si="96"/>
        <v>0</v>
      </c>
      <c r="AM307" s="224">
        <f t="shared" si="96"/>
        <v>0</v>
      </c>
      <c r="AN307" s="224">
        <f t="shared" si="96"/>
        <v>0</v>
      </c>
      <c r="AO307" s="224">
        <f t="shared" si="96"/>
        <v>0</v>
      </c>
      <c r="AP307" s="224">
        <f t="shared" si="96"/>
        <v>0</v>
      </c>
      <c r="AQ307" s="224">
        <f t="shared" si="96"/>
        <v>0</v>
      </c>
      <c r="AR307" s="224">
        <f t="shared" si="96"/>
        <v>0</v>
      </c>
      <c r="AS307" s="224">
        <f t="shared" si="96"/>
        <v>0</v>
      </c>
    </row>
    <row r="308" spans="1:45" hidden="1" outlineLevel="2">
      <c r="B308" s="9" t="str">
        <f>'Input - Option 2 Detailed Input'!C340</f>
        <v>[Additional costs #4]</v>
      </c>
      <c r="C308" s="44">
        <f>'Input - Option 2 Detailed Input'!G340</f>
        <v>0</v>
      </c>
      <c r="H308" s="343">
        <f>SUM(J308:EJ308)</f>
        <v>0</v>
      </c>
      <c r="I308" s="211"/>
      <c r="J308" s="224">
        <f t="shared" si="97"/>
        <v>0</v>
      </c>
      <c r="K308" s="224">
        <f t="shared" si="96"/>
        <v>0</v>
      </c>
      <c r="L308" s="224">
        <f t="shared" si="96"/>
        <v>0</v>
      </c>
      <c r="M308" s="224">
        <f t="shared" si="96"/>
        <v>0</v>
      </c>
      <c r="N308" s="224">
        <f t="shared" si="96"/>
        <v>0</v>
      </c>
      <c r="O308" s="224">
        <f t="shared" si="96"/>
        <v>0</v>
      </c>
      <c r="P308" s="224">
        <f t="shared" si="96"/>
        <v>0</v>
      </c>
      <c r="Q308" s="224">
        <f t="shared" si="96"/>
        <v>0</v>
      </c>
      <c r="R308" s="224">
        <f t="shared" si="96"/>
        <v>0</v>
      </c>
      <c r="S308" s="224">
        <f t="shared" si="96"/>
        <v>0</v>
      </c>
      <c r="T308" s="224">
        <f t="shared" si="96"/>
        <v>0</v>
      </c>
      <c r="U308" s="224">
        <f t="shared" si="96"/>
        <v>0</v>
      </c>
      <c r="V308" s="224">
        <f t="shared" si="96"/>
        <v>0</v>
      </c>
      <c r="W308" s="224">
        <f t="shared" si="96"/>
        <v>0</v>
      </c>
      <c r="X308" s="224">
        <f t="shared" si="96"/>
        <v>0</v>
      </c>
      <c r="Y308" s="224">
        <f t="shared" si="96"/>
        <v>0</v>
      </c>
      <c r="Z308" s="224">
        <f t="shared" si="96"/>
        <v>0</v>
      </c>
      <c r="AA308" s="224">
        <f t="shared" si="96"/>
        <v>0</v>
      </c>
      <c r="AB308" s="224">
        <f t="shared" si="96"/>
        <v>0</v>
      </c>
      <c r="AC308" s="224">
        <f t="shared" si="96"/>
        <v>0</v>
      </c>
      <c r="AD308" s="224">
        <f t="shared" si="96"/>
        <v>0</v>
      </c>
      <c r="AE308" s="224">
        <f t="shared" si="96"/>
        <v>0</v>
      </c>
      <c r="AF308" s="224">
        <f t="shared" si="96"/>
        <v>0</v>
      </c>
      <c r="AG308" s="224">
        <f t="shared" si="96"/>
        <v>0</v>
      </c>
      <c r="AH308" s="224">
        <f t="shared" si="96"/>
        <v>0</v>
      </c>
      <c r="AI308" s="224">
        <f t="shared" si="96"/>
        <v>0</v>
      </c>
      <c r="AJ308" s="224">
        <f t="shared" si="96"/>
        <v>0</v>
      </c>
      <c r="AK308" s="224">
        <f t="shared" si="96"/>
        <v>0</v>
      </c>
      <c r="AL308" s="224">
        <f t="shared" si="96"/>
        <v>0</v>
      </c>
      <c r="AM308" s="224">
        <f t="shared" si="96"/>
        <v>0</v>
      </c>
      <c r="AN308" s="224">
        <f t="shared" si="96"/>
        <v>0</v>
      </c>
      <c r="AO308" s="224">
        <f t="shared" si="96"/>
        <v>0</v>
      </c>
      <c r="AP308" s="224">
        <f t="shared" si="96"/>
        <v>0</v>
      </c>
      <c r="AQ308" s="224">
        <f t="shared" si="96"/>
        <v>0</v>
      </c>
      <c r="AR308" s="224">
        <f t="shared" si="96"/>
        <v>0</v>
      </c>
      <c r="AS308" s="224">
        <f t="shared" si="96"/>
        <v>0</v>
      </c>
    </row>
    <row r="309" spans="1:45" hidden="1" outlineLevel="2">
      <c r="B309" s="9" t="str">
        <f>'Input - Option 2 Detailed Input'!C341</f>
        <v xml:space="preserve">[Additional costs #5] </v>
      </c>
      <c r="C309" s="44">
        <f>'Input - Option 2 Detailed Input'!G341</f>
        <v>0</v>
      </c>
      <c r="H309" s="343">
        <f>SUM(J309:EJ309)</f>
        <v>0</v>
      </c>
      <c r="I309" s="211"/>
      <c r="J309" s="224">
        <f t="shared" si="97"/>
        <v>0</v>
      </c>
      <c r="K309" s="224">
        <f t="shared" si="96"/>
        <v>0</v>
      </c>
      <c r="L309" s="224">
        <f t="shared" si="96"/>
        <v>0</v>
      </c>
      <c r="M309" s="224">
        <f t="shared" si="96"/>
        <v>0</v>
      </c>
      <c r="N309" s="224">
        <f t="shared" si="96"/>
        <v>0</v>
      </c>
      <c r="O309" s="224">
        <f t="shared" si="96"/>
        <v>0</v>
      </c>
      <c r="P309" s="224">
        <f t="shared" si="96"/>
        <v>0</v>
      </c>
      <c r="Q309" s="224">
        <f t="shared" si="96"/>
        <v>0</v>
      </c>
      <c r="R309" s="224">
        <f t="shared" si="96"/>
        <v>0</v>
      </c>
      <c r="S309" s="224">
        <f t="shared" si="96"/>
        <v>0</v>
      </c>
      <c r="T309" s="224">
        <f t="shared" si="96"/>
        <v>0</v>
      </c>
      <c r="U309" s="224">
        <f t="shared" si="96"/>
        <v>0</v>
      </c>
      <c r="V309" s="224">
        <f t="shared" si="96"/>
        <v>0</v>
      </c>
      <c r="W309" s="224">
        <f t="shared" si="96"/>
        <v>0</v>
      </c>
      <c r="X309" s="224">
        <f t="shared" si="96"/>
        <v>0</v>
      </c>
      <c r="Y309" s="224">
        <f t="shared" si="96"/>
        <v>0</v>
      </c>
      <c r="Z309" s="224">
        <f t="shared" si="96"/>
        <v>0</v>
      </c>
      <c r="AA309" s="224">
        <f t="shared" si="96"/>
        <v>0</v>
      </c>
      <c r="AB309" s="224">
        <f t="shared" si="96"/>
        <v>0</v>
      </c>
      <c r="AC309" s="224">
        <f t="shared" si="96"/>
        <v>0</v>
      </c>
      <c r="AD309" s="224">
        <f t="shared" si="96"/>
        <v>0</v>
      </c>
      <c r="AE309" s="224">
        <f t="shared" si="96"/>
        <v>0</v>
      </c>
      <c r="AF309" s="224">
        <f t="shared" si="96"/>
        <v>0</v>
      </c>
      <c r="AG309" s="224">
        <f t="shared" si="96"/>
        <v>0</v>
      </c>
      <c r="AH309" s="224">
        <f t="shared" si="96"/>
        <v>0</v>
      </c>
      <c r="AI309" s="224">
        <f t="shared" si="96"/>
        <v>0</v>
      </c>
      <c r="AJ309" s="224">
        <f t="shared" si="96"/>
        <v>0</v>
      </c>
      <c r="AK309" s="224">
        <f t="shared" si="96"/>
        <v>0</v>
      </c>
      <c r="AL309" s="224">
        <f t="shared" si="96"/>
        <v>0</v>
      </c>
      <c r="AM309" s="224">
        <f t="shared" si="96"/>
        <v>0</v>
      </c>
      <c r="AN309" s="224">
        <f t="shared" si="96"/>
        <v>0</v>
      </c>
      <c r="AO309" s="224">
        <f t="shared" si="96"/>
        <v>0</v>
      </c>
      <c r="AP309" s="224">
        <f t="shared" si="96"/>
        <v>0</v>
      </c>
      <c r="AQ309" s="224">
        <f t="shared" si="96"/>
        <v>0</v>
      </c>
      <c r="AR309" s="224">
        <f t="shared" si="96"/>
        <v>0</v>
      </c>
      <c r="AS309" s="224">
        <f t="shared" si="96"/>
        <v>0</v>
      </c>
    </row>
    <row r="310" spans="1:45" hidden="1" outlineLevel="2">
      <c r="H310" s="343"/>
    </row>
    <row r="311" spans="1:45" hidden="1" outlineLevel="2">
      <c r="A311" s="15"/>
      <c r="B311" s="16" t="s">
        <v>318</v>
      </c>
      <c r="C311" s="12"/>
      <c r="D311" s="12"/>
      <c r="E311" s="12"/>
      <c r="F311" s="12"/>
      <c r="G311" s="12"/>
      <c r="H311" s="259">
        <f>SUM(H305:H309,H293:H302)</f>
        <v>0</v>
      </c>
      <c r="I311" s="215"/>
      <c r="J311" s="225">
        <f>SUM(J292:J302,J305:J309)</f>
        <v>0</v>
      </c>
      <c r="K311" s="225">
        <f t="shared" ref="K311:AS311" si="98">SUM(K292:K302,K305:K309)</f>
        <v>0</v>
      </c>
      <c r="L311" s="225">
        <f t="shared" si="98"/>
        <v>0</v>
      </c>
      <c r="M311" s="225">
        <f t="shared" si="98"/>
        <v>0</v>
      </c>
      <c r="N311" s="225">
        <f t="shared" si="98"/>
        <v>0</v>
      </c>
      <c r="O311" s="225">
        <f t="shared" si="98"/>
        <v>0</v>
      </c>
      <c r="P311" s="225">
        <f t="shared" si="98"/>
        <v>0</v>
      </c>
      <c r="Q311" s="225">
        <f t="shared" si="98"/>
        <v>0</v>
      </c>
      <c r="R311" s="225">
        <f t="shared" si="98"/>
        <v>0</v>
      </c>
      <c r="S311" s="225">
        <f t="shared" si="98"/>
        <v>0</v>
      </c>
      <c r="T311" s="225">
        <f t="shared" si="98"/>
        <v>0</v>
      </c>
      <c r="U311" s="225">
        <f t="shared" si="98"/>
        <v>0</v>
      </c>
      <c r="V311" s="225">
        <f t="shared" si="98"/>
        <v>0</v>
      </c>
      <c r="W311" s="225">
        <f t="shared" si="98"/>
        <v>0</v>
      </c>
      <c r="X311" s="225">
        <f t="shared" si="98"/>
        <v>0</v>
      </c>
      <c r="Y311" s="225">
        <f t="shared" si="98"/>
        <v>0</v>
      </c>
      <c r="Z311" s="225">
        <f t="shared" si="98"/>
        <v>0</v>
      </c>
      <c r="AA311" s="225">
        <f t="shared" si="98"/>
        <v>0</v>
      </c>
      <c r="AB311" s="225">
        <f t="shared" si="98"/>
        <v>0</v>
      </c>
      <c r="AC311" s="225">
        <f t="shared" si="98"/>
        <v>0</v>
      </c>
      <c r="AD311" s="225">
        <f t="shared" si="98"/>
        <v>0</v>
      </c>
      <c r="AE311" s="225">
        <f t="shared" si="98"/>
        <v>0</v>
      </c>
      <c r="AF311" s="225">
        <f t="shared" si="98"/>
        <v>0</v>
      </c>
      <c r="AG311" s="225">
        <f t="shared" si="98"/>
        <v>0</v>
      </c>
      <c r="AH311" s="225">
        <f t="shared" si="98"/>
        <v>0</v>
      </c>
      <c r="AI311" s="225">
        <f t="shared" si="98"/>
        <v>0</v>
      </c>
      <c r="AJ311" s="225">
        <f t="shared" si="98"/>
        <v>0</v>
      </c>
      <c r="AK311" s="225">
        <f t="shared" si="98"/>
        <v>0</v>
      </c>
      <c r="AL311" s="225">
        <f t="shared" si="98"/>
        <v>0</v>
      </c>
      <c r="AM311" s="225">
        <f t="shared" si="98"/>
        <v>0</v>
      </c>
      <c r="AN311" s="225">
        <f t="shared" si="98"/>
        <v>0</v>
      </c>
      <c r="AO311" s="225">
        <f t="shared" si="98"/>
        <v>0</v>
      </c>
      <c r="AP311" s="225">
        <f t="shared" si="98"/>
        <v>0</v>
      </c>
      <c r="AQ311" s="225">
        <f t="shared" si="98"/>
        <v>0</v>
      </c>
      <c r="AR311" s="225">
        <f t="shared" si="98"/>
        <v>0</v>
      </c>
      <c r="AS311" s="225">
        <f t="shared" si="98"/>
        <v>0</v>
      </c>
    </row>
    <row r="312" spans="1:45" hidden="1" outlineLevel="2">
      <c r="H312" s="35"/>
      <c r="I312" s="213"/>
    </row>
    <row r="313" spans="1:45" hidden="1" outlineLevel="2">
      <c r="B313" s="103" t="str">
        <f>'Input - Option 2 Detailed Input'!C343</f>
        <v>Year 10 of establishment and maintenance</v>
      </c>
      <c r="C313" s="25" t="str">
        <f>'Input - Option 2 Detailed Input'!H344</f>
        <v>Total Costs (per visit)</v>
      </c>
      <c r="D313" s="39">
        <f>IF($C$3=$C$4,'Input - Option 2 Detailed Input'!D343,)</f>
        <v>0</v>
      </c>
      <c r="H313" s="35"/>
      <c r="I313" s="213"/>
    </row>
    <row r="314" spans="1:45" hidden="1" outlineLevel="2">
      <c r="B314" s="9" t="str">
        <f>'Input - Option 2 Detailed Input'!$C$156</f>
        <v>Recuring unitary maintenance visits (e.g. watering, mulching, etc.)</v>
      </c>
      <c r="C314" s="44">
        <f>'Input - Option 2 Detailed Input'!H345</f>
        <v>0</v>
      </c>
      <c r="H314" s="343">
        <f t="shared" ref="H314:H323" si="99">SUM(J314:EJ314)</f>
        <v>0</v>
      </c>
      <c r="I314" s="211"/>
      <c r="J314" s="224">
        <f>-IF((J$3=$D$313),($C314)*J$4,)</f>
        <v>0</v>
      </c>
      <c r="K314" s="224">
        <f t="shared" ref="K314:AS321" si="100">-IF((K$3=$D$313),($C314)*K$4,)</f>
        <v>0</v>
      </c>
      <c r="L314" s="224">
        <f t="shared" si="100"/>
        <v>0</v>
      </c>
      <c r="M314" s="224">
        <f t="shared" si="100"/>
        <v>0</v>
      </c>
      <c r="N314" s="224">
        <f t="shared" si="100"/>
        <v>0</v>
      </c>
      <c r="O314" s="224">
        <f t="shared" si="100"/>
        <v>0</v>
      </c>
      <c r="P314" s="224">
        <f t="shared" si="100"/>
        <v>0</v>
      </c>
      <c r="Q314" s="224">
        <f t="shared" si="100"/>
        <v>0</v>
      </c>
      <c r="R314" s="224">
        <f t="shared" si="100"/>
        <v>0</v>
      </c>
      <c r="S314" s="224">
        <f t="shared" si="100"/>
        <v>0</v>
      </c>
      <c r="T314" s="224">
        <f t="shared" si="100"/>
        <v>0</v>
      </c>
      <c r="U314" s="224">
        <f t="shared" si="100"/>
        <v>0</v>
      </c>
      <c r="V314" s="224">
        <f t="shared" si="100"/>
        <v>0</v>
      </c>
      <c r="W314" s="224">
        <f t="shared" si="100"/>
        <v>0</v>
      </c>
      <c r="X314" s="224">
        <f t="shared" si="100"/>
        <v>0</v>
      </c>
      <c r="Y314" s="224">
        <f t="shared" si="100"/>
        <v>0</v>
      </c>
      <c r="Z314" s="224">
        <f t="shared" si="100"/>
        <v>0</v>
      </c>
      <c r="AA314" s="224">
        <f t="shared" si="100"/>
        <v>0</v>
      </c>
      <c r="AB314" s="224">
        <f t="shared" si="100"/>
        <v>0</v>
      </c>
      <c r="AC314" s="224">
        <f t="shared" si="100"/>
        <v>0</v>
      </c>
      <c r="AD314" s="224">
        <f t="shared" si="100"/>
        <v>0</v>
      </c>
      <c r="AE314" s="224">
        <f t="shared" si="100"/>
        <v>0</v>
      </c>
      <c r="AF314" s="224">
        <f t="shared" si="100"/>
        <v>0</v>
      </c>
      <c r="AG314" s="224">
        <f t="shared" si="100"/>
        <v>0</v>
      </c>
      <c r="AH314" s="224">
        <f t="shared" si="100"/>
        <v>0</v>
      </c>
      <c r="AI314" s="224">
        <f t="shared" si="100"/>
        <v>0</v>
      </c>
      <c r="AJ314" s="224">
        <f t="shared" si="100"/>
        <v>0</v>
      </c>
      <c r="AK314" s="224">
        <f t="shared" si="100"/>
        <v>0</v>
      </c>
      <c r="AL314" s="224">
        <f t="shared" si="100"/>
        <v>0</v>
      </c>
      <c r="AM314" s="224">
        <f t="shared" si="100"/>
        <v>0</v>
      </c>
      <c r="AN314" s="224">
        <f t="shared" si="100"/>
        <v>0</v>
      </c>
      <c r="AO314" s="224">
        <f t="shared" si="100"/>
        <v>0</v>
      </c>
      <c r="AP314" s="224">
        <f t="shared" si="100"/>
        <v>0</v>
      </c>
      <c r="AQ314" s="224">
        <f t="shared" si="100"/>
        <v>0</v>
      </c>
      <c r="AR314" s="224">
        <f t="shared" si="100"/>
        <v>0</v>
      </c>
      <c r="AS314" s="224">
        <f t="shared" si="100"/>
        <v>0</v>
      </c>
    </row>
    <row r="315" spans="1:45" hidden="1" outlineLevel="2">
      <c r="B315" s="9" t="str">
        <f>'Input - Option 2 Detailed Input'!$C$158</f>
        <v>Establishment checks (including collection, collation, interpretation and sharing of consistent tree establishment data )</v>
      </c>
      <c r="C315" s="44">
        <f>'Input - Option 2 Detailed Input'!H347</f>
        <v>0</v>
      </c>
      <c r="H315" s="343">
        <f t="shared" si="99"/>
        <v>0</v>
      </c>
      <c r="I315" s="211"/>
      <c r="J315" s="224">
        <f t="shared" ref="J315:Y323" si="101">-IF((J$3=$D$313),($C315)*J$4,)</f>
        <v>0</v>
      </c>
      <c r="K315" s="224">
        <f t="shared" si="101"/>
        <v>0</v>
      </c>
      <c r="L315" s="224">
        <f t="shared" si="101"/>
        <v>0</v>
      </c>
      <c r="M315" s="224">
        <f t="shared" si="101"/>
        <v>0</v>
      </c>
      <c r="N315" s="224">
        <f t="shared" si="101"/>
        <v>0</v>
      </c>
      <c r="O315" s="224">
        <f t="shared" si="101"/>
        <v>0</v>
      </c>
      <c r="P315" s="224">
        <f t="shared" si="101"/>
        <v>0</v>
      </c>
      <c r="Q315" s="224">
        <f t="shared" si="101"/>
        <v>0</v>
      </c>
      <c r="R315" s="224">
        <f t="shared" si="101"/>
        <v>0</v>
      </c>
      <c r="S315" s="224">
        <f t="shared" si="101"/>
        <v>0</v>
      </c>
      <c r="T315" s="224">
        <f t="shared" si="101"/>
        <v>0</v>
      </c>
      <c r="U315" s="224">
        <f t="shared" si="101"/>
        <v>0</v>
      </c>
      <c r="V315" s="224">
        <f t="shared" si="101"/>
        <v>0</v>
      </c>
      <c r="W315" s="224">
        <f t="shared" si="101"/>
        <v>0</v>
      </c>
      <c r="X315" s="224">
        <f t="shared" si="101"/>
        <v>0</v>
      </c>
      <c r="Y315" s="224">
        <f t="shared" si="101"/>
        <v>0</v>
      </c>
      <c r="Z315" s="224">
        <f t="shared" si="100"/>
        <v>0</v>
      </c>
      <c r="AA315" s="224">
        <f t="shared" si="100"/>
        <v>0</v>
      </c>
      <c r="AB315" s="224">
        <f t="shared" si="100"/>
        <v>0</v>
      </c>
      <c r="AC315" s="224">
        <f t="shared" si="100"/>
        <v>0</v>
      </c>
      <c r="AD315" s="224">
        <f t="shared" si="100"/>
        <v>0</v>
      </c>
      <c r="AE315" s="224">
        <f t="shared" si="100"/>
        <v>0</v>
      </c>
      <c r="AF315" s="224">
        <f t="shared" si="100"/>
        <v>0</v>
      </c>
      <c r="AG315" s="224">
        <f t="shared" si="100"/>
        <v>0</v>
      </c>
      <c r="AH315" s="224">
        <f t="shared" si="100"/>
        <v>0</v>
      </c>
      <c r="AI315" s="224">
        <f t="shared" si="100"/>
        <v>0</v>
      </c>
      <c r="AJ315" s="224">
        <f t="shared" si="100"/>
        <v>0</v>
      </c>
      <c r="AK315" s="224">
        <f t="shared" si="100"/>
        <v>0</v>
      </c>
      <c r="AL315" s="224">
        <f t="shared" si="100"/>
        <v>0</v>
      </c>
      <c r="AM315" s="224">
        <f t="shared" si="100"/>
        <v>0</v>
      </c>
      <c r="AN315" s="224">
        <f t="shared" si="100"/>
        <v>0</v>
      </c>
      <c r="AO315" s="224">
        <f t="shared" si="100"/>
        <v>0</v>
      </c>
      <c r="AP315" s="224">
        <f t="shared" si="100"/>
        <v>0</v>
      </c>
      <c r="AQ315" s="224">
        <f t="shared" si="100"/>
        <v>0</v>
      </c>
      <c r="AR315" s="224">
        <f t="shared" si="100"/>
        <v>0</v>
      </c>
      <c r="AS315" s="224">
        <f t="shared" si="100"/>
        <v>0</v>
      </c>
    </row>
    <row r="316" spans="1:45" hidden="1" outlineLevel="2">
      <c r="B316" s="9" t="str">
        <f>'Input - Option 2 Detailed Input'!$C$159</f>
        <v>Maintenance, removal and/or disposal of (where relevant) stakes, ties, and guard, grills, concrete rings, base surrounds, tree protection, etc.</v>
      </c>
      <c r="C316" s="44">
        <f>'Input - Option 2 Detailed Input'!H348</f>
        <v>0</v>
      </c>
      <c r="H316" s="343">
        <f t="shared" si="99"/>
        <v>0</v>
      </c>
      <c r="I316" s="211"/>
      <c r="J316" s="224">
        <f t="shared" si="101"/>
        <v>0</v>
      </c>
      <c r="K316" s="224">
        <f t="shared" si="100"/>
        <v>0</v>
      </c>
      <c r="L316" s="224">
        <f t="shared" si="100"/>
        <v>0</v>
      </c>
      <c r="M316" s="224">
        <f t="shared" si="100"/>
        <v>0</v>
      </c>
      <c r="N316" s="224">
        <f t="shared" si="100"/>
        <v>0</v>
      </c>
      <c r="O316" s="224">
        <f t="shared" si="100"/>
        <v>0</v>
      </c>
      <c r="P316" s="224">
        <f t="shared" si="100"/>
        <v>0</v>
      </c>
      <c r="Q316" s="224">
        <f t="shared" si="100"/>
        <v>0</v>
      </c>
      <c r="R316" s="224">
        <f t="shared" si="100"/>
        <v>0</v>
      </c>
      <c r="S316" s="224">
        <f t="shared" si="100"/>
        <v>0</v>
      </c>
      <c r="T316" s="224">
        <f t="shared" si="100"/>
        <v>0</v>
      </c>
      <c r="U316" s="224">
        <f t="shared" si="100"/>
        <v>0</v>
      </c>
      <c r="V316" s="224">
        <f t="shared" si="100"/>
        <v>0</v>
      </c>
      <c r="W316" s="224">
        <f t="shared" si="100"/>
        <v>0</v>
      </c>
      <c r="X316" s="224">
        <f t="shared" si="100"/>
        <v>0</v>
      </c>
      <c r="Y316" s="224">
        <f t="shared" si="100"/>
        <v>0</v>
      </c>
      <c r="Z316" s="224">
        <f t="shared" si="100"/>
        <v>0</v>
      </c>
      <c r="AA316" s="224">
        <f t="shared" si="100"/>
        <v>0</v>
      </c>
      <c r="AB316" s="224">
        <f t="shared" si="100"/>
        <v>0</v>
      </c>
      <c r="AC316" s="224">
        <f t="shared" si="100"/>
        <v>0</v>
      </c>
      <c r="AD316" s="224">
        <f t="shared" si="100"/>
        <v>0</v>
      </c>
      <c r="AE316" s="224">
        <f t="shared" si="100"/>
        <v>0</v>
      </c>
      <c r="AF316" s="224">
        <f t="shared" si="100"/>
        <v>0</v>
      </c>
      <c r="AG316" s="224">
        <f t="shared" si="100"/>
        <v>0</v>
      </c>
      <c r="AH316" s="224">
        <f t="shared" si="100"/>
        <v>0</v>
      </c>
      <c r="AI316" s="224">
        <f t="shared" si="100"/>
        <v>0</v>
      </c>
      <c r="AJ316" s="224">
        <f t="shared" si="100"/>
        <v>0</v>
      </c>
      <c r="AK316" s="224">
        <f t="shared" si="100"/>
        <v>0</v>
      </c>
      <c r="AL316" s="224">
        <f t="shared" si="100"/>
        <v>0</v>
      </c>
      <c r="AM316" s="224">
        <f t="shared" si="100"/>
        <v>0</v>
      </c>
      <c r="AN316" s="224">
        <f t="shared" si="100"/>
        <v>0</v>
      </c>
      <c r="AO316" s="224">
        <f t="shared" si="100"/>
        <v>0</v>
      </c>
      <c r="AP316" s="224">
        <f t="shared" si="100"/>
        <v>0</v>
      </c>
      <c r="AQ316" s="224">
        <f t="shared" si="100"/>
        <v>0</v>
      </c>
      <c r="AR316" s="224">
        <f t="shared" si="100"/>
        <v>0</v>
      </c>
      <c r="AS316" s="224">
        <f t="shared" si="100"/>
        <v>0</v>
      </c>
    </row>
    <row r="317" spans="1:45" hidden="1" outlineLevel="2">
      <c r="B317" s="9" t="str">
        <f>'Input - Option 2 Detailed Input'!$C$160</f>
        <v xml:space="preserve">Safety inspection cost </v>
      </c>
      <c r="C317" s="44">
        <f>'Input - Option 2 Detailed Input'!H349</f>
        <v>0</v>
      </c>
      <c r="H317" s="343">
        <f t="shared" si="99"/>
        <v>0</v>
      </c>
      <c r="I317" s="211"/>
      <c r="J317" s="224">
        <f t="shared" si="101"/>
        <v>0</v>
      </c>
      <c r="K317" s="224">
        <f t="shared" si="100"/>
        <v>0</v>
      </c>
      <c r="L317" s="224">
        <f t="shared" si="100"/>
        <v>0</v>
      </c>
      <c r="M317" s="224">
        <f t="shared" si="100"/>
        <v>0</v>
      </c>
      <c r="N317" s="224">
        <f t="shared" si="100"/>
        <v>0</v>
      </c>
      <c r="O317" s="224">
        <f t="shared" si="100"/>
        <v>0</v>
      </c>
      <c r="P317" s="224">
        <f t="shared" si="100"/>
        <v>0</v>
      </c>
      <c r="Q317" s="224">
        <f t="shared" si="100"/>
        <v>0</v>
      </c>
      <c r="R317" s="224">
        <f t="shared" si="100"/>
        <v>0</v>
      </c>
      <c r="S317" s="224">
        <f t="shared" si="100"/>
        <v>0</v>
      </c>
      <c r="T317" s="224">
        <f t="shared" si="100"/>
        <v>0</v>
      </c>
      <c r="U317" s="224">
        <f t="shared" si="100"/>
        <v>0</v>
      </c>
      <c r="V317" s="224">
        <f t="shared" si="100"/>
        <v>0</v>
      </c>
      <c r="W317" s="224">
        <f t="shared" si="100"/>
        <v>0</v>
      </c>
      <c r="X317" s="224">
        <f t="shared" si="100"/>
        <v>0</v>
      </c>
      <c r="Y317" s="224">
        <f t="shared" si="100"/>
        <v>0</v>
      </c>
      <c r="Z317" s="224">
        <f t="shared" si="100"/>
        <v>0</v>
      </c>
      <c r="AA317" s="224">
        <f t="shared" si="100"/>
        <v>0</v>
      </c>
      <c r="AB317" s="224">
        <f t="shared" si="100"/>
        <v>0</v>
      </c>
      <c r="AC317" s="224">
        <f t="shared" si="100"/>
        <v>0</v>
      </c>
      <c r="AD317" s="224">
        <f t="shared" si="100"/>
        <v>0</v>
      </c>
      <c r="AE317" s="224">
        <f t="shared" si="100"/>
        <v>0</v>
      </c>
      <c r="AF317" s="224">
        <f t="shared" si="100"/>
        <v>0</v>
      </c>
      <c r="AG317" s="224">
        <f t="shared" si="100"/>
        <v>0</v>
      </c>
      <c r="AH317" s="224">
        <f t="shared" si="100"/>
        <v>0</v>
      </c>
      <c r="AI317" s="224">
        <f t="shared" si="100"/>
        <v>0</v>
      </c>
      <c r="AJ317" s="224">
        <f t="shared" si="100"/>
        <v>0</v>
      </c>
      <c r="AK317" s="224">
        <f t="shared" si="100"/>
        <v>0</v>
      </c>
      <c r="AL317" s="224">
        <f t="shared" si="100"/>
        <v>0</v>
      </c>
      <c r="AM317" s="224">
        <f t="shared" si="100"/>
        <v>0</v>
      </c>
      <c r="AN317" s="224">
        <f t="shared" si="100"/>
        <v>0</v>
      </c>
      <c r="AO317" s="224">
        <f t="shared" si="100"/>
        <v>0</v>
      </c>
      <c r="AP317" s="224">
        <f t="shared" si="100"/>
        <v>0</v>
      </c>
      <c r="AQ317" s="224">
        <f t="shared" si="100"/>
        <v>0</v>
      </c>
      <c r="AR317" s="224">
        <f t="shared" si="100"/>
        <v>0</v>
      </c>
      <c r="AS317" s="224">
        <f t="shared" si="100"/>
        <v>0</v>
      </c>
    </row>
    <row r="318" spans="1:45" hidden="1" outlineLevel="2">
      <c r="B318" s="9" t="str">
        <f>'Input - Option 2 Detailed Input'!$C$161</f>
        <v xml:space="preserve">Crown lifting </v>
      </c>
      <c r="C318" s="44">
        <f>'Input - Option 2 Detailed Input'!H350</f>
        <v>0</v>
      </c>
      <c r="H318" s="343">
        <f t="shared" si="99"/>
        <v>0</v>
      </c>
      <c r="I318" s="211"/>
      <c r="J318" s="224">
        <f t="shared" si="101"/>
        <v>0</v>
      </c>
      <c r="K318" s="224">
        <f t="shared" si="100"/>
        <v>0</v>
      </c>
      <c r="L318" s="224">
        <f t="shared" si="100"/>
        <v>0</v>
      </c>
      <c r="M318" s="224">
        <f t="shared" si="100"/>
        <v>0</v>
      </c>
      <c r="N318" s="224">
        <f t="shared" si="100"/>
        <v>0</v>
      </c>
      <c r="O318" s="224">
        <f t="shared" si="100"/>
        <v>0</v>
      </c>
      <c r="P318" s="224">
        <f t="shared" si="100"/>
        <v>0</v>
      </c>
      <c r="Q318" s="224">
        <f t="shared" si="100"/>
        <v>0</v>
      </c>
      <c r="R318" s="224">
        <f t="shared" si="100"/>
        <v>0</v>
      </c>
      <c r="S318" s="224">
        <f t="shared" si="100"/>
        <v>0</v>
      </c>
      <c r="T318" s="224">
        <f t="shared" si="100"/>
        <v>0</v>
      </c>
      <c r="U318" s="224">
        <f t="shared" si="100"/>
        <v>0</v>
      </c>
      <c r="V318" s="224">
        <f t="shared" si="100"/>
        <v>0</v>
      </c>
      <c r="W318" s="224">
        <f t="shared" si="100"/>
        <v>0</v>
      </c>
      <c r="X318" s="224">
        <f t="shared" si="100"/>
        <v>0</v>
      </c>
      <c r="Y318" s="224">
        <f t="shared" si="100"/>
        <v>0</v>
      </c>
      <c r="Z318" s="224">
        <f t="shared" si="100"/>
        <v>0</v>
      </c>
      <c r="AA318" s="224">
        <f t="shared" si="100"/>
        <v>0</v>
      </c>
      <c r="AB318" s="224">
        <f t="shared" si="100"/>
        <v>0</v>
      </c>
      <c r="AC318" s="224">
        <f t="shared" si="100"/>
        <v>0</v>
      </c>
      <c r="AD318" s="224">
        <f t="shared" si="100"/>
        <v>0</v>
      </c>
      <c r="AE318" s="224">
        <f t="shared" si="100"/>
        <v>0</v>
      </c>
      <c r="AF318" s="224">
        <f t="shared" si="100"/>
        <v>0</v>
      </c>
      <c r="AG318" s="224">
        <f t="shared" si="100"/>
        <v>0</v>
      </c>
      <c r="AH318" s="224">
        <f t="shared" si="100"/>
        <v>0</v>
      </c>
      <c r="AI318" s="224">
        <f t="shared" si="100"/>
        <v>0</v>
      </c>
      <c r="AJ318" s="224">
        <f t="shared" si="100"/>
        <v>0</v>
      </c>
      <c r="AK318" s="224">
        <f t="shared" si="100"/>
        <v>0</v>
      </c>
      <c r="AL318" s="224">
        <f t="shared" si="100"/>
        <v>0</v>
      </c>
      <c r="AM318" s="224">
        <f t="shared" si="100"/>
        <v>0</v>
      </c>
      <c r="AN318" s="224">
        <f t="shared" si="100"/>
        <v>0</v>
      </c>
      <c r="AO318" s="224">
        <f t="shared" si="100"/>
        <v>0</v>
      </c>
      <c r="AP318" s="224">
        <f t="shared" si="100"/>
        <v>0</v>
      </c>
      <c r="AQ318" s="224">
        <f t="shared" si="100"/>
        <v>0</v>
      </c>
      <c r="AR318" s="224">
        <f t="shared" si="100"/>
        <v>0</v>
      </c>
      <c r="AS318" s="224">
        <f t="shared" si="100"/>
        <v>0</v>
      </c>
    </row>
    <row r="319" spans="1:45" hidden="1" outlineLevel="2">
      <c r="B319" s="9" t="str">
        <f>'Input - Option 2 Detailed Input'!$C$162</f>
        <v>Deadwood cleanout</v>
      </c>
      <c r="C319" s="44">
        <f>'Input - Option 2 Detailed Input'!H351</f>
        <v>0</v>
      </c>
      <c r="H319" s="343">
        <f t="shared" si="99"/>
        <v>0</v>
      </c>
      <c r="I319" s="211"/>
      <c r="J319" s="224">
        <f t="shared" si="101"/>
        <v>0</v>
      </c>
      <c r="K319" s="224">
        <f t="shared" si="100"/>
        <v>0</v>
      </c>
      <c r="L319" s="224">
        <f t="shared" si="100"/>
        <v>0</v>
      </c>
      <c r="M319" s="224">
        <f t="shared" si="100"/>
        <v>0</v>
      </c>
      <c r="N319" s="224">
        <f t="shared" si="100"/>
        <v>0</v>
      </c>
      <c r="O319" s="224">
        <f t="shared" si="100"/>
        <v>0</v>
      </c>
      <c r="P319" s="224">
        <f t="shared" si="100"/>
        <v>0</v>
      </c>
      <c r="Q319" s="224">
        <f t="shared" si="100"/>
        <v>0</v>
      </c>
      <c r="R319" s="224">
        <f t="shared" si="100"/>
        <v>0</v>
      </c>
      <c r="S319" s="224">
        <f t="shared" si="100"/>
        <v>0</v>
      </c>
      <c r="T319" s="224">
        <f t="shared" si="100"/>
        <v>0</v>
      </c>
      <c r="U319" s="224">
        <f t="shared" si="100"/>
        <v>0</v>
      </c>
      <c r="V319" s="224">
        <f t="shared" si="100"/>
        <v>0</v>
      </c>
      <c r="W319" s="224">
        <f t="shared" si="100"/>
        <v>0</v>
      </c>
      <c r="X319" s="224">
        <f t="shared" si="100"/>
        <v>0</v>
      </c>
      <c r="Y319" s="224">
        <f t="shared" si="100"/>
        <v>0</v>
      </c>
      <c r="Z319" s="224">
        <f t="shared" si="100"/>
        <v>0</v>
      </c>
      <c r="AA319" s="224">
        <f t="shared" si="100"/>
        <v>0</v>
      </c>
      <c r="AB319" s="224">
        <f t="shared" si="100"/>
        <v>0</v>
      </c>
      <c r="AC319" s="224">
        <f t="shared" si="100"/>
        <v>0</v>
      </c>
      <c r="AD319" s="224">
        <f t="shared" si="100"/>
        <v>0</v>
      </c>
      <c r="AE319" s="224">
        <f t="shared" si="100"/>
        <v>0</v>
      </c>
      <c r="AF319" s="224">
        <f t="shared" si="100"/>
        <v>0</v>
      </c>
      <c r="AG319" s="224">
        <f t="shared" si="100"/>
        <v>0</v>
      </c>
      <c r="AH319" s="224">
        <f t="shared" si="100"/>
        <v>0</v>
      </c>
      <c r="AI319" s="224">
        <f t="shared" si="100"/>
        <v>0</v>
      </c>
      <c r="AJ319" s="224">
        <f t="shared" si="100"/>
        <v>0</v>
      </c>
      <c r="AK319" s="224">
        <f t="shared" si="100"/>
        <v>0</v>
      </c>
      <c r="AL319" s="224">
        <f t="shared" si="100"/>
        <v>0</v>
      </c>
      <c r="AM319" s="224">
        <f t="shared" si="100"/>
        <v>0</v>
      </c>
      <c r="AN319" s="224">
        <f t="shared" si="100"/>
        <v>0</v>
      </c>
      <c r="AO319" s="224">
        <f t="shared" si="100"/>
        <v>0</v>
      </c>
      <c r="AP319" s="224">
        <f t="shared" si="100"/>
        <v>0</v>
      </c>
      <c r="AQ319" s="224">
        <f t="shared" si="100"/>
        <v>0</v>
      </c>
      <c r="AR319" s="224">
        <f t="shared" si="100"/>
        <v>0</v>
      </c>
      <c r="AS319" s="224">
        <f t="shared" si="100"/>
        <v>0</v>
      </c>
    </row>
    <row r="320" spans="1:45" hidden="1" outlineLevel="2">
      <c r="B320" s="9" t="str">
        <f>'Input - Option 2 Detailed Input'!$C$163</f>
        <v>Additional costs related for specialist pruning regimes</v>
      </c>
      <c r="C320" s="44">
        <f>'Input - Option 2 Detailed Input'!H352</f>
        <v>0</v>
      </c>
      <c r="H320" s="343">
        <f t="shared" si="99"/>
        <v>0</v>
      </c>
      <c r="I320" s="211"/>
      <c r="J320" s="224">
        <f t="shared" si="101"/>
        <v>0</v>
      </c>
      <c r="K320" s="224">
        <f t="shared" si="100"/>
        <v>0</v>
      </c>
      <c r="L320" s="224">
        <f t="shared" si="100"/>
        <v>0</v>
      </c>
      <c r="M320" s="224">
        <f t="shared" si="100"/>
        <v>0</v>
      </c>
      <c r="N320" s="224">
        <f t="shared" si="100"/>
        <v>0</v>
      </c>
      <c r="O320" s="224">
        <f t="shared" si="100"/>
        <v>0</v>
      </c>
      <c r="P320" s="224">
        <f t="shared" si="100"/>
        <v>0</v>
      </c>
      <c r="Q320" s="224">
        <f t="shared" si="100"/>
        <v>0</v>
      </c>
      <c r="R320" s="224">
        <f t="shared" si="100"/>
        <v>0</v>
      </c>
      <c r="S320" s="224">
        <f t="shared" si="100"/>
        <v>0</v>
      </c>
      <c r="T320" s="224">
        <f t="shared" si="100"/>
        <v>0</v>
      </c>
      <c r="U320" s="224">
        <f t="shared" si="100"/>
        <v>0</v>
      </c>
      <c r="V320" s="224">
        <f t="shared" si="100"/>
        <v>0</v>
      </c>
      <c r="W320" s="224">
        <f t="shared" si="100"/>
        <v>0</v>
      </c>
      <c r="X320" s="224">
        <f t="shared" si="100"/>
        <v>0</v>
      </c>
      <c r="Y320" s="224">
        <f t="shared" si="100"/>
        <v>0</v>
      </c>
      <c r="Z320" s="224">
        <f t="shared" si="100"/>
        <v>0</v>
      </c>
      <c r="AA320" s="224">
        <f t="shared" si="100"/>
        <v>0</v>
      </c>
      <c r="AB320" s="224">
        <f t="shared" si="100"/>
        <v>0</v>
      </c>
      <c r="AC320" s="224">
        <f t="shared" si="100"/>
        <v>0</v>
      </c>
      <c r="AD320" s="224">
        <f t="shared" si="100"/>
        <v>0</v>
      </c>
      <c r="AE320" s="224">
        <f t="shared" si="100"/>
        <v>0</v>
      </c>
      <c r="AF320" s="224">
        <f t="shared" si="100"/>
        <v>0</v>
      </c>
      <c r="AG320" s="224">
        <f t="shared" si="100"/>
        <v>0</v>
      </c>
      <c r="AH320" s="224">
        <f t="shared" si="100"/>
        <v>0</v>
      </c>
      <c r="AI320" s="224">
        <f t="shared" si="100"/>
        <v>0</v>
      </c>
      <c r="AJ320" s="224">
        <f t="shared" si="100"/>
        <v>0</v>
      </c>
      <c r="AK320" s="224">
        <f t="shared" si="100"/>
        <v>0</v>
      </c>
      <c r="AL320" s="224">
        <f t="shared" si="100"/>
        <v>0</v>
      </c>
      <c r="AM320" s="224">
        <f t="shared" si="100"/>
        <v>0</v>
      </c>
      <c r="AN320" s="224">
        <f t="shared" si="100"/>
        <v>0</v>
      </c>
      <c r="AO320" s="224">
        <f t="shared" si="100"/>
        <v>0</v>
      </c>
      <c r="AP320" s="224">
        <f t="shared" si="100"/>
        <v>0</v>
      </c>
      <c r="AQ320" s="224">
        <f t="shared" si="100"/>
        <v>0</v>
      </c>
      <c r="AR320" s="224">
        <f t="shared" si="100"/>
        <v>0</v>
      </c>
      <c r="AS320" s="224">
        <f t="shared" si="100"/>
        <v>0</v>
      </c>
    </row>
    <row r="321" spans="1:45" hidden="1" outlineLevel="2">
      <c r="B321" s="9" t="str">
        <f>'Input - Option 2 Detailed Input'!$C$164</f>
        <v>Weeding</v>
      </c>
      <c r="C321" s="44">
        <f>'Input - Option 2 Detailed Input'!H353</f>
        <v>0</v>
      </c>
      <c r="H321" s="343">
        <f t="shared" si="99"/>
        <v>0</v>
      </c>
      <c r="I321" s="211"/>
      <c r="J321" s="224">
        <f t="shared" si="101"/>
        <v>0</v>
      </c>
      <c r="K321" s="224">
        <f t="shared" si="100"/>
        <v>0</v>
      </c>
      <c r="L321" s="224">
        <f t="shared" si="100"/>
        <v>0</v>
      </c>
      <c r="M321" s="224">
        <f t="shared" si="100"/>
        <v>0</v>
      </c>
      <c r="N321" s="224">
        <f t="shared" si="100"/>
        <v>0</v>
      </c>
      <c r="O321" s="224">
        <f t="shared" si="100"/>
        <v>0</v>
      </c>
      <c r="P321" s="224">
        <f t="shared" si="100"/>
        <v>0</v>
      </c>
      <c r="Q321" s="224">
        <f t="shared" si="100"/>
        <v>0</v>
      </c>
      <c r="R321" s="224">
        <f t="shared" si="100"/>
        <v>0</v>
      </c>
      <c r="S321" s="224">
        <f t="shared" si="100"/>
        <v>0</v>
      </c>
      <c r="T321" s="224">
        <f t="shared" si="100"/>
        <v>0</v>
      </c>
      <c r="U321" s="224">
        <f t="shared" si="100"/>
        <v>0</v>
      </c>
      <c r="V321" s="224">
        <f t="shared" si="100"/>
        <v>0</v>
      </c>
      <c r="W321" s="224">
        <f t="shared" si="100"/>
        <v>0</v>
      </c>
      <c r="X321" s="224">
        <f t="shared" si="100"/>
        <v>0</v>
      </c>
      <c r="Y321" s="224">
        <f t="shared" si="100"/>
        <v>0</v>
      </c>
      <c r="Z321" s="224">
        <f t="shared" si="100"/>
        <v>0</v>
      </c>
      <c r="AA321" s="224">
        <f t="shared" si="100"/>
        <v>0</v>
      </c>
      <c r="AB321" s="224">
        <f t="shared" si="100"/>
        <v>0</v>
      </c>
      <c r="AC321" s="224">
        <f t="shared" si="100"/>
        <v>0</v>
      </c>
      <c r="AD321" s="224">
        <f t="shared" si="100"/>
        <v>0</v>
      </c>
      <c r="AE321" s="224">
        <f t="shared" si="100"/>
        <v>0</v>
      </c>
      <c r="AF321" s="224">
        <f t="shared" si="100"/>
        <v>0</v>
      </c>
      <c r="AG321" s="224">
        <f t="shared" si="100"/>
        <v>0</v>
      </c>
      <c r="AH321" s="224">
        <f t="shared" si="100"/>
        <v>0</v>
      </c>
      <c r="AI321" s="224">
        <f t="shared" si="100"/>
        <v>0</v>
      </c>
      <c r="AJ321" s="224">
        <f t="shared" ref="K321:AS323" si="102">-IF((AJ$3=$D$313),($C321)*AJ$4,)</f>
        <v>0</v>
      </c>
      <c r="AK321" s="224">
        <f t="shared" si="102"/>
        <v>0</v>
      </c>
      <c r="AL321" s="224">
        <f t="shared" si="102"/>
        <v>0</v>
      </c>
      <c r="AM321" s="224">
        <f t="shared" si="102"/>
        <v>0</v>
      </c>
      <c r="AN321" s="224">
        <f t="shared" si="102"/>
        <v>0</v>
      </c>
      <c r="AO321" s="224">
        <f t="shared" si="102"/>
        <v>0</v>
      </c>
      <c r="AP321" s="224">
        <f t="shared" si="102"/>
        <v>0</v>
      </c>
      <c r="AQ321" s="224">
        <f t="shared" si="102"/>
        <v>0</v>
      </c>
      <c r="AR321" s="224">
        <f t="shared" si="102"/>
        <v>0</v>
      </c>
      <c r="AS321" s="224">
        <f t="shared" si="102"/>
        <v>0</v>
      </c>
    </row>
    <row r="322" spans="1:45" hidden="1" outlineLevel="2">
      <c r="B322" s="9" t="str">
        <f>'Input - Option 2 Detailed Input'!$C$165</f>
        <v>Epicormic growth removal </v>
      </c>
      <c r="C322" s="44">
        <f>'Input - Option 2 Detailed Input'!H354</f>
        <v>0</v>
      </c>
      <c r="H322" s="343">
        <f t="shared" si="99"/>
        <v>0</v>
      </c>
      <c r="I322" s="211"/>
      <c r="J322" s="224">
        <f t="shared" si="101"/>
        <v>0</v>
      </c>
      <c r="K322" s="224">
        <f t="shared" si="102"/>
        <v>0</v>
      </c>
      <c r="L322" s="224">
        <f t="shared" si="102"/>
        <v>0</v>
      </c>
      <c r="M322" s="224">
        <f t="shared" si="102"/>
        <v>0</v>
      </c>
      <c r="N322" s="224">
        <f t="shared" si="102"/>
        <v>0</v>
      </c>
      <c r="O322" s="224">
        <f t="shared" si="102"/>
        <v>0</v>
      </c>
      <c r="P322" s="224">
        <f t="shared" si="102"/>
        <v>0</v>
      </c>
      <c r="Q322" s="224">
        <f t="shared" si="102"/>
        <v>0</v>
      </c>
      <c r="R322" s="224">
        <f t="shared" si="102"/>
        <v>0</v>
      </c>
      <c r="S322" s="224">
        <f t="shared" si="102"/>
        <v>0</v>
      </c>
      <c r="T322" s="224">
        <f t="shared" si="102"/>
        <v>0</v>
      </c>
      <c r="U322" s="224">
        <f t="shared" si="102"/>
        <v>0</v>
      </c>
      <c r="V322" s="224">
        <f t="shared" si="102"/>
        <v>0</v>
      </c>
      <c r="W322" s="224">
        <f t="shared" si="102"/>
        <v>0</v>
      </c>
      <c r="X322" s="224">
        <f t="shared" si="102"/>
        <v>0</v>
      </c>
      <c r="Y322" s="224">
        <f t="shared" si="102"/>
        <v>0</v>
      </c>
      <c r="Z322" s="224">
        <f t="shared" si="102"/>
        <v>0</v>
      </c>
      <c r="AA322" s="224">
        <f t="shared" si="102"/>
        <v>0</v>
      </c>
      <c r="AB322" s="224">
        <f t="shared" si="102"/>
        <v>0</v>
      </c>
      <c r="AC322" s="224">
        <f t="shared" si="102"/>
        <v>0</v>
      </c>
      <c r="AD322" s="224">
        <f t="shared" si="102"/>
        <v>0</v>
      </c>
      <c r="AE322" s="224">
        <f t="shared" si="102"/>
        <v>0</v>
      </c>
      <c r="AF322" s="224">
        <f t="shared" si="102"/>
        <v>0</v>
      </c>
      <c r="AG322" s="224">
        <f t="shared" si="102"/>
        <v>0</v>
      </c>
      <c r="AH322" s="224">
        <f t="shared" si="102"/>
        <v>0</v>
      </c>
      <c r="AI322" s="224">
        <f t="shared" si="102"/>
        <v>0</v>
      </c>
      <c r="AJ322" s="224">
        <f t="shared" si="102"/>
        <v>0</v>
      </c>
      <c r="AK322" s="224">
        <f t="shared" si="102"/>
        <v>0</v>
      </c>
      <c r="AL322" s="224">
        <f t="shared" si="102"/>
        <v>0</v>
      </c>
      <c r="AM322" s="224">
        <f t="shared" si="102"/>
        <v>0</v>
      </c>
      <c r="AN322" s="224">
        <f t="shared" si="102"/>
        <v>0</v>
      </c>
      <c r="AO322" s="224">
        <f t="shared" si="102"/>
        <v>0</v>
      </c>
      <c r="AP322" s="224">
        <f t="shared" si="102"/>
        <v>0</v>
      </c>
      <c r="AQ322" s="224">
        <f t="shared" si="102"/>
        <v>0</v>
      </c>
      <c r="AR322" s="224">
        <f t="shared" si="102"/>
        <v>0</v>
      </c>
      <c r="AS322" s="224">
        <f t="shared" si="102"/>
        <v>0</v>
      </c>
    </row>
    <row r="323" spans="1:45" hidden="1" outlineLevel="2">
      <c r="B323" s="9" t="str">
        <f>'Input - Option 2 Detailed Input'!$C$166</f>
        <v xml:space="preserve">Costs associated with standpipes </v>
      </c>
      <c r="C323" s="44">
        <f>'Input - Option 2 Detailed Input'!H355</f>
        <v>0</v>
      </c>
      <c r="H323" s="343">
        <f t="shared" si="99"/>
        <v>0</v>
      </c>
      <c r="I323" s="211"/>
      <c r="J323" s="224">
        <f t="shared" si="101"/>
        <v>0</v>
      </c>
      <c r="K323" s="224">
        <f t="shared" si="102"/>
        <v>0</v>
      </c>
      <c r="L323" s="224">
        <f t="shared" si="102"/>
        <v>0</v>
      </c>
      <c r="M323" s="224">
        <f t="shared" si="102"/>
        <v>0</v>
      </c>
      <c r="N323" s="224">
        <f t="shared" si="102"/>
        <v>0</v>
      </c>
      <c r="O323" s="224">
        <f t="shared" si="102"/>
        <v>0</v>
      </c>
      <c r="P323" s="224">
        <f t="shared" si="102"/>
        <v>0</v>
      </c>
      <c r="Q323" s="224">
        <f t="shared" si="102"/>
        <v>0</v>
      </c>
      <c r="R323" s="224">
        <f t="shared" si="102"/>
        <v>0</v>
      </c>
      <c r="S323" s="224">
        <f t="shared" si="102"/>
        <v>0</v>
      </c>
      <c r="T323" s="224">
        <f t="shared" si="102"/>
        <v>0</v>
      </c>
      <c r="U323" s="224">
        <f t="shared" si="102"/>
        <v>0</v>
      </c>
      <c r="V323" s="224">
        <f t="shared" si="102"/>
        <v>0</v>
      </c>
      <c r="W323" s="224">
        <f t="shared" si="102"/>
        <v>0</v>
      </c>
      <c r="X323" s="224">
        <f t="shared" si="102"/>
        <v>0</v>
      </c>
      <c r="Y323" s="224">
        <f t="shared" si="102"/>
        <v>0</v>
      </c>
      <c r="Z323" s="224">
        <f t="shared" si="102"/>
        <v>0</v>
      </c>
      <c r="AA323" s="224">
        <f t="shared" si="102"/>
        <v>0</v>
      </c>
      <c r="AB323" s="224">
        <f t="shared" si="102"/>
        <v>0</v>
      </c>
      <c r="AC323" s="224">
        <f t="shared" si="102"/>
        <v>0</v>
      </c>
      <c r="AD323" s="224">
        <f t="shared" si="102"/>
        <v>0</v>
      </c>
      <c r="AE323" s="224">
        <f t="shared" si="102"/>
        <v>0</v>
      </c>
      <c r="AF323" s="224">
        <f t="shared" si="102"/>
        <v>0</v>
      </c>
      <c r="AG323" s="224">
        <f t="shared" si="102"/>
        <v>0</v>
      </c>
      <c r="AH323" s="224">
        <f t="shared" si="102"/>
        <v>0</v>
      </c>
      <c r="AI323" s="224">
        <f t="shared" si="102"/>
        <v>0</v>
      </c>
      <c r="AJ323" s="224">
        <f t="shared" si="102"/>
        <v>0</v>
      </c>
      <c r="AK323" s="224">
        <f t="shared" si="102"/>
        <v>0</v>
      </c>
      <c r="AL323" s="224">
        <f t="shared" si="102"/>
        <v>0</v>
      </c>
      <c r="AM323" s="224">
        <f t="shared" si="102"/>
        <v>0</v>
      </c>
      <c r="AN323" s="224">
        <f t="shared" si="102"/>
        <v>0</v>
      </c>
      <c r="AO323" s="224">
        <f t="shared" si="102"/>
        <v>0</v>
      </c>
      <c r="AP323" s="224">
        <f t="shared" si="102"/>
        <v>0</v>
      </c>
      <c r="AQ323" s="224">
        <f t="shared" si="102"/>
        <v>0</v>
      </c>
      <c r="AR323" s="224">
        <f t="shared" si="102"/>
        <v>0</v>
      </c>
      <c r="AS323" s="224">
        <f t="shared" si="102"/>
        <v>0</v>
      </c>
    </row>
    <row r="324" spans="1:45" hidden="1" outlineLevel="2">
      <c r="H324" s="343"/>
      <c r="I324" s="213"/>
      <c r="J324" s="224"/>
      <c r="K324" s="224"/>
      <c r="L324" s="224"/>
      <c r="M324" s="224"/>
      <c r="N324" s="224"/>
      <c r="O324" s="224"/>
      <c r="P324" s="224"/>
      <c r="Q324" s="224"/>
      <c r="R324" s="224"/>
      <c r="S324" s="224"/>
      <c r="T324" s="224"/>
      <c r="U324" s="224"/>
      <c r="V324" s="224"/>
      <c r="W324" s="224"/>
      <c r="X324" s="224"/>
      <c r="Y324" s="224"/>
      <c r="Z324" s="224"/>
      <c r="AA324" s="224"/>
      <c r="AB324" s="224"/>
      <c r="AC324" s="224"/>
      <c r="AD324" s="224"/>
      <c r="AE324" s="224"/>
      <c r="AF324" s="224"/>
      <c r="AG324" s="224"/>
      <c r="AH324" s="224"/>
      <c r="AI324" s="224"/>
      <c r="AJ324" s="224"/>
      <c r="AK324" s="224"/>
      <c r="AL324" s="224"/>
      <c r="AM324" s="224"/>
      <c r="AN324" s="224"/>
      <c r="AO324" s="224"/>
      <c r="AP324" s="224"/>
      <c r="AQ324" s="224"/>
      <c r="AR324" s="224"/>
      <c r="AS324" s="224"/>
    </row>
    <row r="325" spans="1:45" hidden="1" outlineLevel="2">
      <c r="B325" s="103" t="str">
        <f>'Input - Option 2 Detailed Input'!C357</f>
        <v>Year 10 - Additional Costs</v>
      </c>
      <c r="C325" s="25" t="str">
        <f>'Input - Option 2 Detailed Input'!G357</f>
        <v>Total Costs (per visit)</v>
      </c>
      <c r="H325" s="343"/>
      <c r="I325" s="213"/>
      <c r="J325" s="224"/>
      <c r="K325" s="224"/>
      <c r="L325" s="224"/>
      <c r="M325" s="224"/>
      <c r="N325" s="224"/>
      <c r="O325" s="224"/>
      <c r="P325" s="224"/>
      <c r="Q325" s="224"/>
      <c r="R325" s="224"/>
      <c r="S325" s="224"/>
      <c r="T325" s="224"/>
      <c r="U325" s="224"/>
      <c r="V325" s="224"/>
      <c r="W325" s="224"/>
      <c r="X325" s="224"/>
      <c r="Y325" s="224"/>
      <c r="Z325" s="224"/>
      <c r="AA325" s="224"/>
      <c r="AB325" s="224"/>
      <c r="AC325" s="224"/>
      <c r="AD325" s="224"/>
      <c r="AE325" s="224"/>
      <c r="AF325" s="224"/>
      <c r="AG325" s="224"/>
      <c r="AH325" s="224"/>
      <c r="AI325" s="224"/>
      <c r="AJ325" s="224"/>
      <c r="AK325" s="224"/>
      <c r="AL325" s="224"/>
      <c r="AM325" s="224"/>
      <c r="AN325" s="224"/>
      <c r="AO325" s="224"/>
      <c r="AP325" s="224"/>
      <c r="AQ325" s="224"/>
      <c r="AR325" s="224"/>
      <c r="AS325" s="224"/>
    </row>
    <row r="326" spans="1:45" hidden="1" outlineLevel="2">
      <c r="B326" s="9" t="str">
        <f>'Input - Option 2 Detailed Input'!C358</f>
        <v xml:space="preserve">[Additional costs #1] </v>
      </c>
      <c r="C326" s="44">
        <f>'Input - Option 2 Detailed Input'!G358</f>
        <v>0</v>
      </c>
      <c r="H326" s="343">
        <f>SUM(J326:EJ326)</f>
        <v>0</v>
      </c>
      <c r="I326" s="211"/>
      <c r="J326" s="224">
        <f>-IF((J$3=$D$313),($C326)*J$4,)</f>
        <v>0</v>
      </c>
      <c r="K326" s="224">
        <f t="shared" ref="K326:AS330" si="103">-IF((K$3=$D$313),($C326)*K$4,)</f>
        <v>0</v>
      </c>
      <c r="L326" s="224">
        <f t="shared" si="103"/>
        <v>0</v>
      </c>
      <c r="M326" s="224">
        <f t="shared" si="103"/>
        <v>0</v>
      </c>
      <c r="N326" s="224">
        <f t="shared" si="103"/>
        <v>0</v>
      </c>
      <c r="O326" s="224">
        <f t="shared" si="103"/>
        <v>0</v>
      </c>
      <c r="P326" s="224">
        <f t="shared" si="103"/>
        <v>0</v>
      </c>
      <c r="Q326" s="224">
        <f t="shared" si="103"/>
        <v>0</v>
      </c>
      <c r="R326" s="224">
        <f t="shared" si="103"/>
        <v>0</v>
      </c>
      <c r="S326" s="224">
        <f t="shared" si="103"/>
        <v>0</v>
      </c>
      <c r="T326" s="224">
        <f t="shared" si="103"/>
        <v>0</v>
      </c>
      <c r="U326" s="224">
        <f t="shared" si="103"/>
        <v>0</v>
      </c>
      <c r="V326" s="224">
        <f t="shared" si="103"/>
        <v>0</v>
      </c>
      <c r="W326" s="224">
        <f t="shared" si="103"/>
        <v>0</v>
      </c>
      <c r="X326" s="224">
        <f t="shared" si="103"/>
        <v>0</v>
      </c>
      <c r="Y326" s="224">
        <f t="shared" si="103"/>
        <v>0</v>
      </c>
      <c r="Z326" s="224">
        <f t="shared" si="103"/>
        <v>0</v>
      </c>
      <c r="AA326" s="224">
        <f t="shared" si="103"/>
        <v>0</v>
      </c>
      <c r="AB326" s="224">
        <f t="shared" si="103"/>
        <v>0</v>
      </c>
      <c r="AC326" s="224">
        <f t="shared" si="103"/>
        <v>0</v>
      </c>
      <c r="AD326" s="224">
        <f t="shared" si="103"/>
        <v>0</v>
      </c>
      <c r="AE326" s="224">
        <f t="shared" si="103"/>
        <v>0</v>
      </c>
      <c r="AF326" s="224">
        <f t="shared" si="103"/>
        <v>0</v>
      </c>
      <c r="AG326" s="224">
        <f t="shared" si="103"/>
        <v>0</v>
      </c>
      <c r="AH326" s="224">
        <f t="shared" si="103"/>
        <v>0</v>
      </c>
      <c r="AI326" s="224">
        <f t="shared" si="103"/>
        <v>0</v>
      </c>
      <c r="AJ326" s="224">
        <f t="shared" si="103"/>
        <v>0</v>
      </c>
      <c r="AK326" s="224">
        <f t="shared" si="103"/>
        <v>0</v>
      </c>
      <c r="AL326" s="224">
        <f t="shared" si="103"/>
        <v>0</v>
      </c>
      <c r="AM326" s="224">
        <f t="shared" si="103"/>
        <v>0</v>
      </c>
      <c r="AN326" s="224">
        <f t="shared" si="103"/>
        <v>0</v>
      </c>
      <c r="AO326" s="224">
        <f t="shared" si="103"/>
        <v>0</v>
      </c>
      <c r="AP326" s="224">
        <f t="shared" si="103"/>
        <v>0</v>
      </c>
      <c r="AQ326" s="224">
        <f t="shared" si="103"/>
        <v>0</v>
      </c>
      <c r="AR326" s="224">
        <f t="shared" si="103"/>
        <v>0</v>
      </c>
      <c r="AS326" s="224">
        <f t="shared" si="103"/>
        <v>0</v>
      </c>
    </row>
    <row r="327" spans="1:45" hidden="1" outlineLevel="2">
      <c r="B327" s="9" t="str">
        <f>'Input - Option 2 Detailed Input'!C359</f>
        <v>[Additional costs #2]</v>
      </c>
      <c r="C327" s="44">
        <f>'Input - Option 2 Detailed Input'!G359</f>
        <v>0</v>
      </c>
      <c r="H327" s="343">
        <f>SUM(J327:EJ327)</f>
        <v>0</v>
      </c>
      <c r="I327" s="211"/>
      <c r="J327" s="224">
        <f t="shared" ref="J327:Y330" si="104">-IF((J$3=$D$313),($C327)*J$4,)</f>
        <v>0</v>
      </c>
      <c r="K327" s="224">
        <f t="shared" si="104"/>
        <v>0</v>
      </c>
      <c r="L327" s="224">
        <f t="shared" si="104"/>
        <v>0</v>
      </c>
      <c r="M327" s="224">
        <f t="shared" si="104"/>
        <v>0</v>
      </c>
      <c r="N327" s="224">
        <f t="shared" si="104"/>
        <v>0</v>
      </c>
      <c r="O327" s="224">
        <f t="shared" si="104"/>
        <v>0</v>
      </c>
      <c r="P327" s="224">
        <f t="shared" si="104"/>
        <v>0</v>
      </c>
      <c r="Q327" s="224">
        <f t="shared" si="104"/>
        <v>0</v>
      </c>
      <c r="R327" s="224">
        <f t="shared" si="104"/>
        <v>0</v>
      </c>
      <c r="S327" s="224">
        <f t="shared" si="104"/>
        <v>0</v>
      </c>
      <c r="T327" s="224">
        <f t="shared" si="104"/>
        <v>0</v>
      </c>
      <c r="U327" s="224">
        <f t="shared" si="104"/>
        <v>0</v>
      </c>
      <c r="V327" s="224">
        <f t="shared" si="104"/>
        <v>0</v>
      </c>
      <c r="W327" s="224">
        <f t="shared" si="104"/>
        <v>0</v>
      </c>
      <c r="X327" s="224">
        <f t="shared" si="104"/>
        <v>0</v>
      </c>
      <c r="Y327" s="224">
        <f t="shared" si="104"/>
        <v>0</v>
      </c>
      <c r="Z327" s="224">
        <f t="shared" si="103"/>
        <v>0</v>
      </c>
      <c r="AA327" s="224">
        <f t="shared" si="103"/>
        <v>0</v>
      </c>
      <c r="AB327" s="224">
        <f t="shared" si="103"/>
        <v>0</v>
      </c>
      <c r="AC327" s="224">
        <f t="shared" si="103"/>
        <v>0</v>
      </c>
      <c r="AD327" s="224">
        <f t="shared" si="103"/>
        <v>0</v>
      </c>
      <c r="AE327" s="224">
        <f t="shared" si="103"/>
        <v>0</v>
      </c>
      <c r="AF327" s="224">
        <f t="shared" si="103"/>
        <v>0</v>
      </c>
      <c r="AG327" s="224">
        <f t="shared" si="103"/>
        <v>0</v>
      </c>
      <c r="AH327" s="224">
        <f t="shared" si="103"/>
        <v>0</v>
      </c>
      <c r="AI327" s="224">
        <f t="shared" si="103"/>
        <v>0</v>
      </c>
      <c r="AJ327" s="224">
        <f t="shared" si="103"/>
        <v>0</v>
      </c>
      <c r="AK327" s="224">
        <f t="shared" si="103"/>
        <v>0</v>
      </c>
      <c r="AL327" s="224">
        <f t="shared" si="103"/>
        <v>0</v>
      </c>
      <c r="AM327" s="224">
        <f t="shared" si="103"/>
        <v>0</v>
      </c>
      <c r="AN327" s="224">
        <f t="shared" si="103"/>
        <v>0</v>
      </c>
      <c r="AO327" s="224">
        <f t="shared" si="103"/>
        <v>0</v>
      </c>
      <c r="AP327" s="224">
        <f t="shared" si="103"/>
        <v>0</v>
      </c>
      <c r="AQ327" s="224">
        <f t="shared" si="103"/>
        <v>0</v>
      </c>
      <c r="AR327" s="224">
        <f t="shared" si="103"/>
        <v>0</v>
      </c>
      <c r="AS327" s="224">
        <f t="shared" si="103"/>
        <v>0</v>
      </c>
    </row>
    <row r="328" spans="1:45" hidden="1" outlineLevel="2">
      <c r="B328" s="9" t="str">
        <f>'Input - Option 2 Detailed Input'!C360</f>
        <v xml:space="preserve">[Additional costs #3] </v>
      </c>
      <c r="C328" s="44">
        <f>'Input - Option 2 Detailed Input'!G360</f>
        <v>0</v>
      </c>
      <c r="H328" s="343">
        <f>SUM(J328:EJ328)</f>
        <v>0</v>
      </c>
      <c r="I328" s="211"/>
      <c r="J328" s="224">
        <f t="shared" si="104"/>
        <v>0</v>
      </c>
      <c r="K328" s="224">
        <f t="shared" si="103"/>
        <v>0</v>
      </c>
      <c r="L328" s="224">
        <f t="shared" si="103"/>
        <v>0</v>
      </c>
      <c r="M328" s="224">
        <f t="shared" si="103"/>
        <v>0</v>
      </c>
      <c r="N328" s="224">
        <f t="shared" si="103"/>
        <v>0</v>
      </c>
      <c r="O328" s="224">
        <f t="shared" si="103"/>
        <v>0</v>
      </c>
      <c r="P328" s="224">
        <f t="shared" si="103"/>
        <v>0</v>
      </c>
      <c r="Q328" s="224">
        <f t="shared" si="103"/>
        <v>0</v>
      </c>
      <c r="R328" s="224">
        <f t="shared" si="103"/>
        <v>0</v>
      </c>
      <c r="S328" s="224">
        <f t="shared" si="103"/>
        <v>0</v>
      </c>
      <c r="T328" s="224">
        <f t="shared" si="103"/>
        <v>0</v>
      </c>
      <c r="U328" s="224">
        <f t="shared" si="103"/>
        <v>0</v>
      </c>
      <c r="V328" s="224">
        <f t="shared" si="103"/>
        <v>0</v>
      </c>
      <c r="W328" s="224">
        <f t="shared" si="103"/>
        <v>0</v>
      </c>
      <c r="X328" s="224">
        <f t="shared" si="103"/>
        <v>0</v>
      </c>
      <c r="Y328" s="224">
        <f t="shared" si="103"/>
        <v>0</v>
      </c>
      <c r="Z328" s="224">
        <f t="shared" si="103"/>
        <v>0</v>
      </c>
      <c r="AA328" s="224">
        <f t="shared" si="103"/>
        <v>0</v>
      </c>
      <c r="AB328" s="224">
        <f t="shared" si="103"/>
        <v>0</v>
      </c>
      <c r="AC328" s="224">
        <f t="shared" si="103"/>
        <v>0</v>
      </c>
      <c r="AD328" s="224">
        <f t="shared" si="103"/>
        <v>0</v>
      </c>
      <c r="AE328" s="224">
        <f t="shared" si="103"/>
        <v>0</v>
      </c>
      <c r="AF328" s="224">
        <f t="shared" si="103"/>
        <v>0</v>
      </c>
      <c r="AG328" s="224">
        <f t="shared" si="103"/>
        <v>0</v>
      </c>
      <c r="AH328" s="224">
        <f t="shared" si="103"/>
        <v>0</v>
      </c>
      <c r="AI328" s="224">
        <f t="shared" si="103"/>
        <v>0</v>
      </c>
      <c r="AJ328" s="224">
        <f t="shared" si="103"/>
        <v>0</v>
      </c>
      <c r="AK328" s="224">
        <f t="shared" si="103"/>
        <v>0</v>
      </c>
      <c r="AL328" s="224">
        <f t="shared" si="103"/>
        <v>0</v>
      </c>
      <c r="AM328" s="224">
        <f t="shared" si="103"/>
        <v>0</v>
      </c>
      <c r="AN328" s="224">
        <f t="shared" si="103"/>
        <v>0</v>
      </c>
      <c r="AO328" s="224">
        <f t="shared" si="103"/>
        <v>0</v>
      </c>
      <c r="AP328" s="224">
        <f t="shared" si="103"/>
        <v>0</v>
      </c>
      <c r="AQ328" s="224">
        <f t="shared" si="103"/>
        <v>0</v>
      </c>
      <c r="AR328" s="224">
        <f t="shared" si="103"/>
        <v>0</v>
      </c>
      <c r="AS328" s="224">
        <f t="shared" si="103"/>
        <v>0</v>
      </c>
    </row>
    <row r="329" spans="1:45" hidden="1" outlineLevel="2">
      <c r="B329" s="9" t="str">
        <f>'Input - Option 2 Detailed Input'!C361</f>
        <v>[Additional costs #4]</v>
      </c>
      <c r="C329" s="44">
        <f>'Input - Option 2 Detailed Input'!G361</f>
        <v>0</v>
      </c>
      <c r="H329" s="343">
        <f>SUM(J329:EJ329)</f>
        <v>0</v>
      </c>
      <c r="I329" s="211"/>
      <c r="J329" s="224">
        <f t="shared" si="104"/>
        <v>0</v>
      </c>
      <c r="K329" s="224">
        <f t="shared" si="103"/>
        <v>0</v>
      </c>
      <c r="L329" s="224">
        <f t="shared" si="103"/>
        <v>0</v>
      </c>
      <c r="M329" s="224">
        <f t="shared" si="103"/>
        <v>0</v>
      </c>
      <c r="N329" s="224">
        <f t="shared" si="103"/>
        <v>0</v>
      </c>
      <c r="O329" s="224">
        <f t="shared" si="103"/>
        <v>0</v>
      </c>
      <c r="P329" s="224">
        <f t="shared" si="103"/>
        <v>0</v>
      </c>
      <c r="Q329" s="224">
        <f t="shared" si="103"/>
        <v>0</v>
      </c>
      <c r="R329" s="224">
        <f t="shared" si="103"/>
        <v>0</v>
      </c>
      <c r="S329" s="224">
        <f t="shared" si="103"/>
        <v>0</v>
      </c>
      <c r="T329" s="224">
        <f t="shared" si="103"/>
        <v>0</v>
      </c>
      <c r="U329" s="224">
        <f t="shared" si="103"/>
        <v>0</v>
      </c>
      <c r="V329" s="224">
        <f t="shared" si="103"/>
        <v>0</v>
      </c>
      <c r="W329" s="224">
        <f t="shared" si="103"/>
        <v>0</v>
      </c>
      <c r="X329" s="224">
        <f t="shared" si="103"/>
        <v>0</v>
      </c>
      <c r="Y329" s="224">
        <f t="shared" si="103"/>
        <v>0</v>
      </c>
      <c r="Z329" s="224">
        <f t="shared" si="103"/>
        <v>0</v>
      </c>
      <c r="AA329" s="224">
        <f t="shared" si="103"/>
        <v>0</v>
      </c>
      <c r="AB329" s="224">
        <f t="shared" si="103"/>
        <v>0</v>
      </c>
      <c r="AC329" s="224">
        <f t="shared" si="103"/>
        <v>0</v>
      </c>
      <c r="AD329" s="224">
        <f t="shared" si="103"/>
        <v>0</v>
      </c>
      <c r="AE329" s="224">
        <f t="shared" si="103"/>
        <v>0</v>
      </c>
      <c r="AF329" s="224">
        <f t="shared" si="103"/>
        <v>0</v>
      </c>
      <c r="AG329" s="224">
        <f t="shared" si="103"/>
        <v>0</v>
      </c>
      <c r="AH329" s="224">
        <f t="shared" si="103"/>
        <v>0</v>
      </c>
      <c r="AI329" s="224">
        <f t="shared" si="103"/>
        <v>0</v>
      </c>
      <c r="AJ329" s="224">
        <f t="shared" si="103"/>
        <v>0</v>
      </c>
      <c r="AK329" s="224">
        <f t="shared" si="103"/>
        <v>0</v>
      </c>
      <c r="AL329" s="224">
        <f t="shared" si="103"/>
        <v>0</v>
      </c>
      <c r="AM329" s="224">
        <f t="shared" si="103"/>
        <v>0</v>
      </c>
      <c r="AN329" s="224">
        <f t="shared" si="103"/>
        <v>0</v>
      </c>
      <c r="AO329" s="224">
        <f t="shared" si="103"/>
        <v>0</v>
      </c>
      <c r="AP329" s="224">
        <f t="shared" si="103"/>
        <v>0</v>
      </c>
      <c r="AQ329" s="224">
        <f t="shared" si="103"/>
        <v>0</v>
      </c>
      <c r="AR329" s="224">
        <f t="shared" si="103"/>
        <v>0</v>
      </c>
      <c r="AS329" s="224">
        <f t="shared" si="103"/>
        <v>0</v>
      </c>
    </row>
    <row r="330" spans="1:45" hidden="1" outlineLevel="2">
      <c r="B330" s="9" t="str">
        <f>'Input - Option 2 Detailed Input'!C362</f>
        <v xml:space="preserve">[Additional costs #5] </v>
      </c>
      <c r="C330" s="44">
        <f>'Input - Option 2 Detailed Input'!G362</f>
        <v>0</v>
      </c>
      <c r="H330" s="343">
        <f>SUM(J330:EJ330)</f>
        <v>0</v>
      </c>
      <c r="I330" s="211"/>
      <c r="J330" s="224">
        <f t="shared" si="104"/>
        <v>0</v>
      </c>
      <c r="K330" s="224">
        <f t="shared" si="103"/>
        <v>0</v>
      </c>
      <c r="L330" s="224">
        <f t="shared" si="103"/>
        <v>0</v>
      </c>
      <c r="M330" s="224">
        <f t="shared" si="103"/>
        <v>0</v>
      </c>
      <c r="N330" s="224">
        <f t="shared" si="103"/>
        <v>0</v>
      </c>
      <c r="O330" s="224">
        <f t="shared" si="103"/>
        <v>0</v>
      </c>
      <c r="P330" s="224">
        <f t="shared" si="103"/>
        <v>0</v>
      </c>
      <c r="Q330" s="224">
        <f t="shared" si="103"/>
        <v>0</v>
      </c>
      <c r="R330" s="224">
        <f t="shared" si="103"/>
        <v>0</v>
      </c>
      <c r="S330" s="224">
        <f t="shared" si="103"/>
        <v>0</v>
      </c>
      <c r="T330" s="224">
        <f t="shared" si="103"/>
        <v>0</v>
      </c>
      <c r="U330" s="224">
        <f t="shared" si="103"/>
        <v>0</v>
      </c>
      <c r="V330" s="224">
        <f t="shared" si="103"/>
        <v>0</v>
      </c>
      <c r="W330" s="224">
        <f t="shared" si="103"/>
        <v>0</v>
      </c>
      <c r="X330" s="224">
        <f t="shared" si="103"/>
        <v>0</v>
      </c>
      <c r="Y330" s="224">
        <f t="shared" si="103"/>
        <v>0</v>
      </c>
      <c r="Z330" s="224">
        <f t="shared" si="103"/>
        <v>0</v>
      </c>
      <c r="AA330" s="224">
        <f t="shared" si="103"/>
        <v>0</v>
      </c>
      <c r="AB330" s="224">
        <f t="shared" si="103"/>
        <v>0</v>
      </c>
      <c r="AC330" s="224">
        <f t="shared" si="103"/>
        <v>0</v>
      </c>
      <c r="AD330" s="224">
        <f t="shared" si="103"/>
        <v>0</v>
      </c>
      <c r="AE330" s="224">
        <f t="shared" si="103"/>
        <v>0</v>
      </c>
      <c r="AF330" s="224">
        <f t="shared" si="103"/>
        <v>0</v>
      </c>
      <c r="AG330" s="224">
        <f t="shared" si="103"/>
        <v>0</v>
      </c>
      <c r="AH330" s="224">
        <f t="shared" si="103"/>
        <v>0</v>
      </c>
      <c r="AI330" s="224">
        <f t="shared" si="103"/>
        <v>0</v>
      </c>
      <c r="AJ330" s="224">
        <f t="shared" si="103"/>
        <v>0</v>
      </c>
      <c r="AK330" s="224">
        <f t="shared" si="103"/>
        <v>0</v>
      </c>
      <c r="AL330" s="224">
        <f t="shared" si="103"/>
        <v>0</v>
      </c>
      <c r="AM330" s="224">
        <f t="shared" si="103"/>
        <v>0</v>
      </c>
      <c r="AN330" s="224">
        <f t="shared" si="103"/>
        <v>0</v>
      </c>
      <c r="AO330" s="224">
        <f t="shared" si="103"/>
        <v>0</v>
      </c>
      <c r="AP330" s="224">
        <f t="shared" si="103"/>
        <v>0</v>
      </c>
      <c r="AQ330" s="224">
        <f t="shared" si="103"/>
        <v>0</v>
      </c>
      <c r="AR330" s="224">
        <f t="shared" si="103"/>
        <v>0</v>
      </c>
      <c r="AS330" s="224">
        <f t="shared" si="103"/>
        <v>0</v>
      </c>
    </row>
    <row r="331" spans="1:45" hidden="1" outlineLevel="2">
      <c r="H331" s="343"/>
    </row>
    <row r="332" spans="1:45" hidden="1" outlineLevel="2">
      <c r="A332" s="15"/>
      <c r="B332" s="16" t="s">
        <v>319</v>
      </c>
      <c r="C332" s="12"/>
      <c r="D332" s="12"/>
      <c r="E332" s="12"/>
      <c r="F332" s="12"/>
      <c r="G332" s="12"/>
      <c r="H332" s="259">
        <f>SUM(H326:H330,H314:H323)</f>
        <v>0</v>
      </c>
      <c r="I332" s="215"/>
      <c r="J332" s="225">
        <f>SUM(J313:J323,J326:J330)</f>
        <v>0</v>
      </c>
      <c r="K332" s="225">
        <f t="shared" ref="K332:AS332" si="105">SUM(K313:K323,K326:K330)</f>
        <v>0</v>
      </c>
      <c r="L332" s="225">
        <f t="shared" si="105"/>
        <v>0</v>
      </c>
      <c r="M332" s="225">
        <f t="shared" si="105"/>
        <v>0</v>
      </c>
      <c r="N332" s="225">
        <f t="shared" si="105"/>
        <v>0</v>
      </c>
      <c r="O332" s="225">
        <f t="shared" si="105"/>
        <v>0</v>
      </c>
      <c r="P332" s="225">
        <f t="shared" si="105"/>
        <v>0</v>
      </c>
      <c r="Q332" s="225">
        <f t="shared" si="105"/>
        <v>0</v>
      </c>
      <c r="R332" s="225">
        <f t="shared" si="105"/>
        <v>0</v>
      </c>
      <c r="S332" s="225">
        <f t="shared" si="105"/>
        <v>0</v>
      </c>
      <c r="T332" s="225">
        <f t="shared" si="105"/>
        <v>0</v>
      </c>
      <c r="U332" s="225">
        <f t="shared" si="105"/>
        <v>0</v>
      </c>
      <c r="V332" s="225">
        <f t="shared" si="105"/>
        <v>0</v>
      </c>
      <c r="W332" s="225">
        <f t="shared" si="105"/>
        <v>0</v>
      </c>
      <c r="X332" s="225">
        <f t="shared" si="105"/>
        <v>0</v>
      </c>
      <c r="Y332" s="225">
        <f t="shared" si="105"/>
        <v>0</v>
      </c>
      <c r="Z332" s="225">
        <f t="shared" si="105"/>
        <v>0</v>
      </c>
      <c r="AA332" s="225">
        <f t="shared" si="105"/>
        <v>0</v>
      </c>
      <c r="AB332" s="225">
        <f t="shared" si="105"/>
        <v>0</v>
      </c>
      <c r="AC332" s="225">
        <f t="shared" si="105"/>
        <v>0</v>
      </c>
      <c r="AD332" s="225">
        <f t="shared" si="105"/>
        <v>0</v>
      </c>
      <c r="AE332" s="225">
        <f t="shared" si="105"/>
        <v>0</v>
      </c>
      <c r="AF332" s="225">
        <f t="shared" si="105"/>
        <v>0</v>
      </c>
      <c r="AG332" s="225">
        <f t="shared" si="105"/>
        <v>0</v>
      </c>
      <c r="AH332" s="225">
        <f t="shared" si="105"/>
        <v>0</v>
      </c>
      <c r="AI332" s="225">
        <f t="shared" si="105"/>
        <v>0</v>
      </c>
      <c r="AJ332" s="225">
        <f t="shared" si="105"/>
        <v>0</v>
      </c>
      <c r="AK332" s="225">
        <f t="shared" si="105"/>
        <v>0</v>
      </c>
      <c r="AL332" s="225">
        <f t="shared" si="105"/>
        <v>0</v>
      </c>
      <c r="AM332" s="225">
        <f t="shared" si="105"/>
        <v>0</v>
      </c>
      <c r="AN332" s="225">
        <f t="shared" si="105"/>
        <v>0</v>
      </c>
      <c r="AO332" s="225">
        <f t="shared" si="105"/>
        <v>0</v>
      </c>
      <c r="AP332" s="225">
        <f t="shared" si="105"/>
        <v>0</v>
      </c>
      <c r="AQ332" s="225">
        <f t="shared" si="105"/>
        <v>0</v>
      </c>
      <c r="AR332" s="225">
        <f t="shared" si="105"/>
        <v>0</v>
      </c>
      <c r="AS332" s="225">
        <f t="shared" si="105"/>
        <v>0</v>
      </c>
    </row>
    <row r="333" spans="1:45" hidden="1" outlineLevel="2">
      <c r="H333" s="35"/>
    </row>
    <row r="334" spans="1:45" hidden="1" outlineLevel="1">
      <c r="A334" s="22" t="s">
        <v>320</v>
      </c>
      <c r="H334" s="35"/>
      <c r="I334" s="213"/>
    </row>
    <row r="335" spans="1:45" hidden="1" outlineLevel="1">
      <c r="A335" s="22"/>
      <c r="H335" s="35"/>
      <c r="I335" s="213"/>
    </row>
    <row r="336" spans="1:45" ht="29.1" hidden="1" outlineLevel="1">
      <c r="B336" s="3" t="s">
        <v>321</v>
      </c>
      <c r="C336" s="25" t="s">
        <v>322</v>
      </c>
      <c r="D336" s="25" t="s">
        <v>222</v>
      </c>
      <c r="H336" s="35"/>
      <c r="I336" s="213"/>
    </row>
    <row r="337" spans="1:140" hidden="1" outlineLevel="1">
      <c r="B337" s="9" t="s">
        <v>323</v>
      </c>
      <c r="C337" s="353">
        <f>H143</f>
        <v>0</v>
      </c>
      <c r="D337" s="241">
        <f>'Input - Option 2 Detailed Input'!D154</f>
        <v>2025</v>
      </c>
      <c r="E337" s="9" t="str">
        <f>'Input - Option 2 Detailed Input'!E154</f>
        <v>YEAR WITHIN RANGE</v>
      </c>
      <c r="H337" s="343">
        <f>C337</f>
        <v>0</v>
      </c>
      <c r="I337" s="211"/>
      <c r="J337" s="224">
        <f>IF((J$3=$D337),$C337,0)</f>
        <v>0</v>
      </c>
      <c r="K337" s="224">
        <f t="shared" ref="K337:AS344" si="106">IF((K$3=$D337),$C337,0)</f>
        <v>0</v>
      </c>
      <c r="L337" s="224">
        <f t="shared" si="106"/>
        <v>0</v>
      </c>
      <c r="M337" s="224">
        <f t="shared" si="106"/>
        <v>0</v>
      </c>
      <c r="N337" s="224">
        <f t="shared" si="106"/>
        <v>0</v>
      </c>
      <c r="O337" s="224">
        <f t="shared" si="106"/>
        <v>0</v>
      </c>
      <c r="P337" s="224">
        <f t="shared" si="106"/>
        <v>0</v>
      </c>
      <c r="Q337" s="224">
        <f t="shared" si="106"/>
        <v>0</v>
      </c>
      <c r="R337" s="224">
        <f t="shared" si="106"/>
        <v>0</v>
      </c>
      <c r="S337" s="224">
        <f t="shared" si="106"/>
        <v>0</v>
      </c>
      <c r="T337" s="224">
        <f t="shared" si="106"/>
        <v>0</v>
      </c>
      <c r="U337" s="224">
        <f t="shared" si="106"/>
        <v>0</v>
      </c>
      <c r="V337" s="224">
        <f t="shared" si="106"/>
        <v>0</v>
      </c>
      <c r="W337" s="224">
        <f t="shared" si="106"/>
        <v>0</v>
      </c>
      <c r="X337" s="224">
        <f t="shared" si="106"/>
        <v>0</v>
      </c>
      <c r="Y337" s="224">
        <f t="shared" si="106"/>
        <v>0</v>
      </c>
      <c r="Z337" s="224">
        <f t="shared" si="106"/>
        <v>0</v>
      </c>
      <c r="AA337" s="224">
        <f t="shared" si="106"/>
        <v>0</v>
      </c>
      <c r="AB337" s="224">
        <f t="shared" si="106"/>
        <v>0</v>
      </c>
      <c r="AC337" s="224">
        <f t="shared" si="106"/>
        <v>0</v>
      </c>
      <c r="AD337" s="224">
        <f t="shared" si="106"/>
        <v>0</v>
      </c>
      <c r="AE337" s="224">
        <f t="shared" si="106"/>
        <v>0</v>
      </c>
      <c r="AF337" s="224">
        <f t="shared" si="106"/>
        <v>0</v>
      </c>
      <c r="AG337" s="224">
        <f t="shared" si="106"/>
        <v>0</v>
      </c>
      <c r="AH337" s="224">
        <f t="shared" si="106"/>
        <v>0</v>
      </c>
      <c r="AI337" s="224">
        <f t="shared" si="106"/>
        <v>0</v>
      </c>
      <c r="AJ337" s="224">
        <f t="shared" si="106"/>
        <v>0</v>
      </c>
      <c r="AK337" s="224">
        <f t="shared" si="106"/>
        <v>0</v>
      </c>
      <c r="AL337" s="224">
        <f t="shared" si="106"/>
        <v>0</v>
      </c>
      <c r="AM337" s="224">
        <f t="shared" si="106"/>
        <v>0</v>
      </c>
      <c r="AN337" s="224">
        <f t="shared" si="106"/>
        <v>0</v>
      </c>
      <c r="AO337" s="224">
        <f t="shared" si="106"/>
        <v>0</v>
      </c>
      <c r="AP337" s="224">
        <f t="shared" si="106"/>
        <v>0</v>
      </c>
      <c r="AQ337" s="224">
        <f t="shared" si="106"/>
        <v>0</v>
      </c>
      <c r="AR337" s="224">
        <f t="shared" si="106"/>
        <v>0</v>
      </c>
      <c r="AS337" s="224">
        <f t="shared" si="106"/>
        <v>0</v>
      </c>
    </row>
    <row r="338" spans="1:140" hidden="1" outlineLevel="1">
      <c r="B338" s="9" t="s">
        <v>324</v>
      </c>
      <c r="C338" s="353">
        <f>H164</f>
        <v>0</v>
      </c>
      <c r="D338" s="241">
        <f>'Input - Option 2 Detailed Input'!D175</f>
        <v>2026</v>
      </c>
      <c r="E338" s="9" t="str">
        <f>'Input - Option 2 Detailed Input'!E175</f>
        <v>YEAR WITHIN RANGE</v>
      </c>
      <c r="H338" s="343">
        <f t="shared" ref="H338:H346" si="107">C338</f>
        <v>0</v>
      </c>
      <c r="I338" s="211"/>
      <c r="J338" s="224">
        <f t="shared" ref="J338:Y346" si="108">IF((J$3=$D338),$C338,0)</f>
        <v>0</v>
      </c>
      <c r="K338" s="224">
        <f t="shared" si="108"/>
        <v>0</v>
      </c>
      <c r="L338" s="224">
        <f t="shared" si="108"/>
        <v>0</v>
      </c>
      <c r="M338" s="224">
        <f t="shared" si="108"/>
        <v>0</v>
      </c>
      <c r="N338" s="224">
        <f t="shared" si="108"/>
        <v>0</v>
      </c>
      <c r="O338" s="224">
        <f t="shared" si="108"/>
        <v>0</v>
      </c>
      <c r="P338" s="224">
        <f t="shared" si="108"/>
        <v>0</v>
      </c>
      <c r="Q338" s="224">
        <f t="shared" si="108"/>
        <v>0</v>
      </c>
      <c r="R338" s="224">
        <f t="shared" si="108"/>
        <v>0</v>
      </c>
      <c r="S338" s="224">
        <f t="shared" si="108"/>
        <v>0</v>
      </c>
      <c r="T338" s="224">
        <f t="shared" si="108"/>
        <v>0</v>
      </c>
      <c r="U338" s="224">
        <f t="shared" si="108"/>
        <v>0</v>
      </c>
      <c r="V338" s="224">
        <f t="shared" si="108"/>
        <v>0</v>
      </c>
      <c r="W338" s="224">
        <f t="shared" si="108"/>
        <v>0</v>
      </c>
      <c r="X338" s="224">
        <f t="shared" si="108"/>
        <v>0</v>
      </c>
      <c r="Y338" s="224">
        <f t="shared" si="108"/>
        <v>0</v>
      </c>
      <c r="Z338" s="224">
        <f t="shared" si="106"/>
        <v>0</v>
      </c>
      <c r="AA338" s="224">
        <f t="shared" si="106"/>
        <v>0</v>
      </c>
      <c r="AB338" s="224">
        <f t="shared" si="106"/>
        <v>0</v>
      </c>
      <c r="AC338" s="224">
        <f t="shared" si="106"/>
        <v>0</v>
      </c>
      <c r="AD338" s="224">
        <f t="shared" si="106"/>
        <v>0</v>
      </c>
      <c r="AE338" s="224">
        <f t="shared" si="106"/>
        <v>0</v>
      </c>
      <c r="AF338" s="224">
        <f t="shared" si="106"/>
        <v>0</v>
      </c>
      <c r="AG338" s="224">
        <f t="shared" si="106"/>
        <v>0</v>
      </c>
      <c r="AH338" s="224">
        <f t="shared" si="106"/>
        <v>0</v>
      </c>
      <c r="AI338" s="224">
        <f t="shared" si="106"/>
        <v>0</v>
      </c>
      <c r="AJ338" s="224">
        <f t="shared" si="106"/>
        <v>0</v>
      </c>
      <c r="AK338" s="224">
        <f t="shared" si="106"/>
        <v>0</v>
      </c>
      <c r="AL338" s="224">
        <f t="shared" si="106"/>
        <v>0</v>
      </c>
      <c r="AM338" s="224">
        <f t="shared" si="106"/>
        <v>0</v>
      </c>
      <c r="AN338" s="224">
        <f t="shared" si="106"/>
        <v>0</v>
      </c>
      <c r="AO338" s="224">
        <f t="shared" si="106"/>
        <v>0</v>
      </c>
      <c r="AP338" s="224">
        <f t="shared" si="106"/>
        <v>0</v>
      </c>
      <c r="AQ338" s="224">
        <f t="shared" si="106"/>
        <v>0</v>
      </c>
      <c r="AR338" s="224">
        <f t="shared" si="106"/>
        <v>0</v>
      </c>
      <c r="AS338" s="224">
        <f t="shared" si="106"/>
        <v>0</v>
      </c>
    </row>
    <row r="339" spans="1:140" hidden="1" outlineLevel="1">
      <c r="B339" s="9" t="s">
        <v>325</v>
      </c>
      <c r="C339" s="353">
        <f>H185</f>
        <v>0</v>
      </c>
      <c r="D339" s="241">
        <f>'Input - Option 2 Detailed Input'!D196</f>
        <v>2027</v>
      </c>
      <c r="E339" s="9" t="str">
        <f>'Input - Option 2 Detailed Input'!E196</f>
        <v>YEAR WITHIN RANGE</v>
      </c>
      <c r="H339" s="343">
        <f t="shared" si="107"/>
        <v>0</v>
      </c>
      <c r="I339" s="211"/>
      <c r="J339" s="224">
        <f t="shared" si="108"/>
        <v>0</v>
      </c>
      <c r="K339" s="224">
        <f t="shared" si="106"/>
        <v>0</v>
      </c>
      <c r="L339" s="224">
        <f t="shared" si="106"/>
        <v>0</v>
      </c>
      <c r="M339" s="224">
        <f t="shared" si="106"/>
        <v>0</v>
      </c>
      <c r="N339" s="224">
        <f t="shared" si="106"/>
        <v>0</v>
      </c>
      <c r="O339" s="224">
        <f t="shared" si="106"/>
        <v>0</v>
      </c>
      <c r="P339" s="224">
        <f t="shared" si="106"/>
        <v>0</v>
      </c>
      <c r="Q339" s="224">
        <f t="shared" si="106"/>
        <v>0</v>
      </c>
      <c r="R339" s="224">
        <f t="shared" si="106"/>
        <v>0</v>
      </c>
      <c r="S339" s="224">
        <f t="shared" si="106"/>
        <v>0</v>
      </c>
      <c r="T339" s="224">
        <f t="shared" si="106"/>
        <v>0</v>
      </c>
      <c r="U339" s="224">
        <f t="shared" si="106"/>
        <v>0</v>
      </c>
      <c r="V339" s="224">
        <f t="shared" si="106"/>
        <v>0</v>
      </c>
      <c r="W339" s="224">
        <f t="shared" si="106"/>
        <v>0</v>
      </c>
      <c r="X339" s="224">
        <f t="shared" si="106"/>
        <v>0</v>
      </c>
      <c r="Y339" s="224">
        <f t="shared" si="106"/>
        <v>0</v>
      </c>
      <c r="Z339" s="224">
        <f t="shared" si="106"/>
        <v>0</v>
      </c>
      <c r="AA339" s="224">
        <f t="shared" si="106"/>
        <v>0</v>
      </c>
      <c r="AB339" s="224">
        <f t="shared" si="106"/>
        <v>0</v>
      </c>
      <c r="AC339" s="224">
        <f t="shared" si="106"/>
        <v>0</v>
      </c>
      <c r="AD339" s="224">
        <f t="shared" si="106"/>
        <v>0</v>
      </c>
      <c r="AE339" s="224">
        <f t="shared" si="106"/>
        <v>0</v>
      </c>
      <c r="AF339" s="224">
        <f t="shared" si="106"/>
        <v>0</v>
      </c>
      <c r="AG339" s="224">
        <f t="shared" si="106"/>
        <v>0</v>
      </c>
      <c r="AH339" s="224">
        <f t="shared" si="106"/>
        <v>0</v>
      </c>
      <c r="AI339" s="224">
        <f t="shared" si="106"/>
        <v>0</v>
      </c>
      <c r="AJ339" s="224">
        <f t="shared" si="106"/>
        <v>0</v>
      </c>
      <c r="AK339" s="224">
        <f t="shared" si="106"/>
        <v>0</v>
      </c>
      <c r="AL339" s="224">
        <f t="shared" si="106"/>
        <v>0</v>
      </c>
      <c r="AM339" s="224">
        <f t="shared" si="106"/>
        <v>0</v>
      </c>
      <c r="AN339" s="224">
        <f t="shared" si="106"/>
        <v>0</v>
      </c>
      <c r="AO339" s="224">
        <f t="shared" si="106"/>
        <v>0</v>
      </c>
      <c r="AP339" s="224">
        <f t="shared" si="106"/>
        <v>0</v>
      </c>
      <c r="AQ339" s="224">
        <f t="shared" si="106"/>
        <v>0</v>
      </c>
      <c r="AR339" s="224">
        <f t="shared" si="106"/>
        <v>0</v>
      </c>
      <c r="AS339" s="224">
        <f t="shared" si="106"/>
        <v>0</v>
      </c>
    </row>
    <row r="340" spans="1:140" hidden="1" outlineLevel="1">
      <c r="B340" s="9" t="s">
        <v>326</v>
      </c>
      <c r="C340" s="353">
        <f>H206</f>
        <v>0</v>
      </c>
      <c r="D340" s="241">
        <f>'Input - Option 2 Detailed Input'!D217</f>
        <v>2028</v>
      </c>
      <c r="E340" s="9" t="str">
        <f>'Input - Option 2 Detailed Input'!E217</f>
        <v>YEAR WITHIN RANGE</v>
      </c>
      <c r="H340" s="343">
        <f t="shared" si="107"/>
        <v>0</v>
      </c>
      <c r="I340" s="211"/>
      <c r="J340" s="224">
        <f t="shared" si="108"/>
        <v>0</v>
      </c>
      <c r="K340" s="224">
        <f t="shared" si="106"/>
        <v>0</v>
      </c>
      <c r="L340" s="224">
        <f t="shared" si="106"/>
        <v>0</v>
      </c>
      <c r="M340" s="224">
        <f t="shared" si="106"/>
        <v>0</v>
      </c>
      <c r="N340" s="224">
        <f t="shared" si="106"/>
        <v>0</v>
      </c>
      <c r="O340" s="224">
        <f t="shared" si="106"/>
        <v>0</v>
      </c>
      <c r="P340" s="224">
        <f t="shared" si="106"/>
        <v>0</v>
      </c>
      <c r="Q340" s="224">
        <f t="shared" si="106"/>
        <v>0</v>
      </c>
      <c r="R340" s="224">
        <f t="shared" si="106"/>
        <v>0</v>
      </c>
      <c r="S340" s="224">
        <f t="shared" si="106"/>
        <v>0</v>
      </c>
      <c r="T340" s="224">
        <f t="shared" si="106"/>
        <v>0</v>
      </c>
      <c r="U340" s="224">
        <f t="shared" si="106"/>
        <v>0</v>
      </c>
      <c r="V340" s="224">
        <f t="shared" si="106"/>
        <v>0</v>
      </c>
      <c r="W340" s="224">
        <f t="shared" si="106"/>
        <v>0</v>
      </c>
      <c r="X340" s="224">
        <f t="shared" si="106"/>
        <v>0</v>
      </c>
      <c r="Y340" s="224">
        <f t="shared" si="106"/>
        <v>0</v>
      </c>
      <c r="Z340" s="224">
        <f t="shared" si="106"/>
        <v>0</v>
      </c>
      <c r="AA340" s="224">
        <f t="shared" si="106"/>
        <v>0</v>
      </c>
      <c r="AB340" s="224">
        <f t="shared" si="106"/>
        <v>0</v>
      </c>
      <c r="AC340" s="224">
        <f t="shared" si="106"/>
        <v>0</v>
      </c>
      <c r="AD340" s="224">
        <f t="shared" si="106"/>
        <v>0</v>
      </c>
      <c r="AE340" s="224">
        <f t="shared" si="106"/>
        <v>0</v>
      </c>
      <c r="AF340" s="224">
        <f t="shared" si="106"/>
        <v>0</v>
      </c>
      <c r="AG340" s="224">
        <f t="shared" si="106"/>
        <v>0</v>
      </c>
      <c r="AH340" s="224">
        <f t="shared" si="106"/>
        <v>0</v>
      </c>
      <c r="AI340" s="224">
        <f t="shared" si="106"/>
        <v>0</v>
      </c>
      <c r="AJ340" s="224">
        <f t="shared" si="106"/>
        <v>0</v>
      </c>
      <c r="AK340" s="224">
        <f t="shared" si="106"/>
        <v>0</v>
      </c>
      <c r="AL340" s="224">
        <f t="shared" si="106"/>
        <v>0</v>
      </c>
      <c r="AM340" s="224">
        <f t="shared" si="106"/>
        <v>0</v>
      </c>
      <c r="AN340" s="224">
        <f t="shared" si="106"/>
        <v>0</v>
      </c>
      <c r="AO340" s="224">
        <f t="shared" si="106"/>
        <v>0</v>
      </c>
      <c r="AP340" s="224">
        <f t="shared" si="106"/>
        <v>0</v>
      </c>
      <c r="AQ340" s="224">
        <f t="shared" si="106"/>
        <v>0</v>
      </c>
      <c r="AR340" s="224">
        <f t="shared" si="106"/>
        <v>0</v>
      </c>
      <c r="AS340" s="224">
        <f t="shared" si="106"/>
        <v>0</v>
      </c>
    </row>
    <row r="341" spans="1:140" hidden="1" outlineLevel="1">
      <c r="B341" s="9" t="s">
        <v>327</v>
      </c>
      <c r="C341" s="353">
        <f>H227</f>
        <v>0</v>
      </c>
      <c r="D341" s="241">
        <f>'Input - Option 2 Detailed Input'!D238</f>
        <v>2029</v>
      </c>
      <c r="E341" s="9" t="str">
        <f>'Input - Option 2 Detailed Input'!E238</f>
        <v>YEAR WITHIN RANGE</v>
      </c>
      <c r="H341" s="343">
        <f t="shared" si="107"/>
        <v>0</v>
      </c>
      <c r="I341" s="211"/>
      <c r="J341" s="224">
        <f t="shared" si="108"/>
        <v>0</v>
      </c>
      <c r="K341" s="224">
        <f t="shared" si="106"/>
        <v>0</v>
      </c>
      <c r="L341" s="224">
        <f t="shared" si="106"/>
        <v>0</v>
      </c>
      <c r="M341" s="224">
        <f t="shared" si="106"/>
        <v>0</v>
      </c>
      <c r="N341" s="224">
        <f t="shared" si="106"/>
        <v>0</v>
      </c>
      <c r="O341" s="224">
        <f t="shared" si="106"/>
        <v>0</v>
      </c>
      <c r="P341" s="224">
        <f t="shared" si="106"/>
        <v>0</v>
      </c>
      <c r="Q341" s="224">
        <f t="shared" si="106"/>
        <v>0</v>
      </c>
      <c r="R341" s="224">
        <f t="shared" si="106"/>
        <v>0</v>
      </c>
      <c r="S341" s="224">
        <f t="shared" si="106"/>
        <v>0</v>
      </c>
      <c r="T341" s="224">
        <f t="shared" si="106"/>
        <v>0</v>
      </c>
      <c r="U341" s="224">
        <f t="shared" si="106"/>
        <v>0</v>
      </c>
      <c r="V341" s="224">
        <f t="shared" si="106"/>
        <v>0</v>
      </c>
      <c r="W341" s="224">
        <f t="shared" si="106"/>
        <v>0</v>
      </c>
      <c r="X341" s="224">
        <f t="shared" si="106"/>
        <v>0</v>
      </c>
      <c r="Y341" s="224">
        <f t="shared" si="106"/>
        <v>0</v>
      </c>
      <c r="Z341" s="224">
        <f t="shared" si="106"/>
        <v>0</v>
      </c>
      <c r="AA341" s="224">
        <f t="shared" si="106"/>
        <v>0</v>
      </c>
      <c r="AB341" s="224">
        <f t="shared" si="106"/>
        <v>0</v>
      </c>
      <c r="AC341" s="224">
        <f t="shared" si="106"/>
        <v>0</v>
      </c>
      <c r="AD341" s="224">
        <f t="shared" si="106"/>
        <v>0</v>
      </c>
      <c r="AE341" s="224">
        <f t="shared" si="106"/>
        <v>0</v>
      </c>
      <c r="AF341" s="224">
        <f t="shared" si="106"/>
        <v>0</v>
      </c>
      <c r="AG341" s="224">
        <f t="shared" si="106"/>
        <v>0</v>
      </c>
      <c r="AH341" s="224">
        <f t="shared" si="106"/>
        <v>0</v>
      </c>
      <c r="AI341" s="224">
        <f t="shared" si="106"/>
        <v>0</v>
      </c>
      <c r="AJ341" s="224">
        <f t="shared" si="106"/>
        <v>0</v>
      </c>
      <c r="AK341" s="224">
        <f t="shared" si="106"/>
        <v>0</v>
      </c>
      <c r="AL341" s="224">
        <f t="shared" si="106"/>
        <v>0</v>
      </c>
      <c r="AM341" s="224">
        <f t="shared" si="106"/>
        <v>0</v>
      </c>
      <c r="AN341" s="224">
        <f t="shared" si="106"/>
        <v>0</v>
      </c>
      <c r="AO341" s="224">
        <f t="shared" si="106"/>
        <v>0</v>
      </c>
      <c r="AP341" s="224">
        <f t="shared" si="106"/>
        <v>0</v>
      </c>
      <c r="AQ341" s="224">
        <f t="shared" si="106"/>
        <v>0</v>
      </c>
      <c r="AR341" s="224">
        <f t="shared" si="106"/>
        <v>0</v>
      </c>
      <c r="AS341" s="224">
        <f t="shared" si="106"/>
        <v>0</v>
      </c>
    </row>
    <row r="342" spans="1:140" hidden="1" outlineLevel="1">
      <c r="B342" s="9" t="s">
        <v>328</v>
      </c>
      <c r="C342" s="353">
        <f>H248</f>
        <v>0</v>
      </c>
      <c r="D342" s="241">
        <f>'Input - Option 2 Detailed Input'!D259</f>
        <v>2030</v>
      </c>
      <c r="E342" s="9" t="str">
        <f>'Input - Option 2 Detailed Input'!E259</f>
        <v>YEAR WITHIN RANGE</v>
      </c>
      <c r="H342" s="343">
        <f t="shared" si="107"/>
        <v>0</v>
      </c>
      <c r="I342" s="211"/>
      <c r="J342" s="224">
        <f t="shared" si="108"/>
        <v>0</v>
      </c>
      <c r="K342" s="224">
        <f t="shared" si="106"/>
        <v>0</v>
      </c>
      <c r="L342" s="224">
        <f t="shared" si="106"/>
        <v>0</v>
      </c>
      <c r="M342" s="224">
        <f t="shared" si="106"/>
        <v>0</v>
      </c>
      <c r="N342" s="224">
        <f t="shared" si="106"/>
        <v>0</v>
      </c>
      <c r="O342" s="224">
        <f t="shared" si="106"/>
        <v>0</v>
      </c>
      <c r="P342" s="224">
        <f t="shared" si="106"/>
        <v>0</v>
      </c>
      <c r="Q342" s="224">
        <f t="shared" si="106"/>
        <v>0</v>
      </c>
      <c r="R342" s="224">
        <f t="shared" si="106"/>
        <v>0</v>
      </c>
      <c r="S342" s="224">
        <f t="shared" si="106"/>
        <v>0</v>
      </c>
      <c r="T342" s="224">
        <f t="shared" si="106"/>
        <v>0</v>
      </c>
      <c r="U342" s="224">
        <f t="shared" si="106"/>
        <v>0</v>
      </c>
      <c r="V342" s="224">
        <f t="shared" si="106"/>
        <v>0</v>
      </c>
      <c r="W342" s="224">
        <f t="shared" si="106"/>
        <v>0</v>
      </c>
      <c r="X342" s="224">
        <f t="shared" si="106"/>
        <v>0</v>
      </c>
      <c r="Y342" s="224">
        <f t="shared" si="106"/>
        <v>0</v>
      </c>
      <c r="Z342" s="224">
        <f t="shared" si="106"/>
        <v>0</v>
      </c>
      <c r="AA342" s="224">
        <f t="shared" si="106"/>
        <v>0</v>
      </c>
      <c r="AB342" s="224">
        <f t="shared" si="106"/>
        <v>0</v>
      </c>
      <c r="AC342" s="224">
        <f t="shared" si="106"/>
        <v>0</v>
      </c>
      <c r="AD342" s="224">
        <f t="shared" si="106"/>
        <v>0</v>
      </c>
      <c r="AE342" s="224">
        <f t="shared" si="106"/>
        <v>0</v>
      </c>
      <c r="AF342" s="224">
        <f t="shared" si="106"/>
        <v>0</v>
      </c>
      <c r="AG342" s="224">
        <f t="shared" si="106"/>
        <v>0</v>
      </c>
      <c r="AH342" s="224">
        <f t="shared" si="106"/>
        <v>0</v>
      </c>
      <c r="AI342" s="224">
        <f t="shared" si="106"/>
        <v>0</v>
      </c>
      <c r="AJ342" s="224">
        <f t="shared" si="106"/>
        <v>0</v>
      </c>
      <c r="AK342" s="224">
        <f t="shared" si="106"/>
        <v>0</v>
      </c>
      <c r="AL342" s="224">
        <f t="shared" si="106"/>
        <v>0</v>
      </c>
      <c r="AM342" s="224">
        <f t="shared" si="106"/>
        <v>0</v>
      </c>
      <c r="AN342" s="224">
        <f t="shared" si="106"/>
        <v>0</v>
      </c>
      <c r="AO342" s="224">
        <f t="shared" si="106"/>
        <v>0</v>
      </c>
      <c r="AP342" s="224">
        <f t="shared" si="106"/>
        <v>0</v>
      </c>
      <c r="AQ342" s="224">
        <f t="shared" si="106"/>
        <v>0</v>
      </c>
      <c r="AR342" s="224">
        <f t="shared" si="106"/>
        <v>0</v>
      </c>
      <c r="AS342" s="224">
        <f t="shared" si="106"/>
        <v>0</v>
      </c>
    </row>
    <row r="343" spans="1:140" hidden="1" outlineLevel="1">
      <c r="B343" s="9" t="s">
        <v>329</v>
      </c>
      <c r="C343" s="353">
        <f>H269</f>
        <v>0</v>
      </c>
      <c r="D343" s="241">
        <f>'Input - Option 2 Detailed Input'!D280</f>
        <v>2031</v>
      </c>
      <c r="E343" s="9" t="str">
        <f>'Input - Option 2 Detailed Input'!E280</f>
        <v>YEAR WITHIN RANGE</v>
      </c>
      <c r="H343" s="343">
        <f t="shared" si="107"/>
        <v>0</v>
      </c>
      <c r="I343" s="211"/>
      <c r="J343" s="224">
        <f t="shared" si="108"/>
        <v>0</v>
      </c>
      <c r="K343" s="224">
        <f t="shared" si="106"/>
        <v>0</v>
      </c>
      <c r="L343" s="224">
        <f t="shared" si="106"/>
        <v>0</v>
      </c>
      <c r="M343" s="224">
        <f t="shared" si="106"/>
        <v>0</v>
      </c>
      <c r="N343" s="224">
        <f t="shared" si="106"/>
        <v>0</v>
      </c>
      <c r="O343" s="224">
        <f t="shared" si="106"/>
        <v>0</v>
      </c>
      <c r="P343" s="224">
        <f t="shared" si="106"/>
        <v>0</v>
      </c>
      <c r="Q343" s="224">
        <f t="shared" si="106"/>
        <v>0</v>
      </c>
      <c r="R343" s="224">
        <f t="shared" si="106"/>
        <v>0</v>
      </c>
      <c r="S343" s="224">
        <f t="shared" si="106"/>
        <v>0</v>
      </c>
      <c r="T343" s="224">
        <f t="shared" si="106"/>
        <v>0</v>
      </c>
      <c r="U343" s="224">
        <f t="shared" si="106"/>
        <v>0</v>
      </c>
      <c r="V343" s="224">
        <f t="shared" si="106"/>
        <v>0</v>
      </c>
      <c r="W343" s="224">
        <f t="shared" si="106"/>
        <v>0</v>
      </c>
      <c r="X343" s="224">
        <f t="shared" si="106"/>
        <v>0</v>
      </c>
      <c r="Y343" s="224">
        <f t="shared" si="106"/>
        <v>0</v>
      </c>
      <c r="Z343" s="224">
        <f t="shared" si="106"/>
        <v>0</v>
      </c>
      <c r="AA343" s="224">
        <f t="shared" si="106"/>
        <v>0</v>
      </c>
      <c r="AB343" s="224">
        <f t="shared" si="106"/>
        <v>0</v>
      </c>
      <c r="AC343" s="224">
        <f t="shared" si="106"/>
        <v>0</v>
      </c>
      <c r="AD343" s="224">
        <f t="shared" si="106"/>
        <v>0</v>
      </c>
      <c r="AE343" s="224">
        <f t="shared" si="106"/>
        <v>0</v>
      </c>
      <c r="AF343" s="224">
        <f t="shared" si="106"/>
        <v>0</v>
      </c>
      <c r="AG343" s="224">
        <f t="shared" si="106"/>
        <v>0</v>
      </c>
      <c r="AH343" s="224">
        <f t="shared" si="106"/>
        <v>0</v>
      </c>
      <c r="AI343" s="224">
        <f t="shared" si="106"/>
        <v>0</v>
      </c>
      <c r="AJ343" s="224">
        <f t="shared" si="106"/>
        <v>0</v>
      </c>
      <c r="AK343" s="224">
        <f t="shared" si="106"/>
        <v>0</v>
      </c>
      <c r="AL343" s="224">
        <f t="shared" si="106"/>
        <v>0</v>
      </c>
      <c r="AM343" s="224">
        <f t="shared" si="106"/>
        <v>0</v>
      </c>
      <c r="AN343" s="224">
        <f t="shared" si="106"/>
        <v>0</v>
      </c>
      <c r="AO343" s="224">
        <f t="shared" si="106"/>
        <v>0</v>
      </c>
      <c r="AP343" s="224">
        <f t="shared" si="106"/>
        <v>0</v>
      </c>
      <c r="AQ343" s="224">
        <f t="shared" si="106"/>
        <v>0</v>
      </c>
      <c r="AR343" s="224">
        <f t="shared" si="106"/>
        <v>0</v>
      </c>
      <c r="AS343" s="224">
        <f t="shared" si="106"/>
        <v>0</v>
      </c>
    </row>
    <row r="344" spans="1:140" hidden="1" outlineLevel="1">
      <c r="B344" s="9" t="s">
        <v>330</v>
      </c>
      <c r="C344" s="353">
        <f>H290</f>
        <v>0</v>
      </c>
      <c r="D344" s="241">
        <f>'Input - Option 2 Detailed Input'!D301</f>
        <v>2032</v>
      </c>
      <c r="E344" s="9" t="str">
        <f>'Input - Option 2 Detailed Input'!E301</f>
        <v>YEAR WITHIN RANGE</v>
      </c>
      <c r="H344" s="343">
        <f t="shared" si="107"/>
        <v>0</v>
      </c>
      <c r="I344" s="211"/>
      <c r="J344" s="224">
        <f t="shared" si="108"/>
        <v>0</v>
      </c>
      <c r="K344" s="224">
        <f t="shared" si="106"/>
        <v>0</v>
      </c>
      <c r="L344" s="224">
        <f t="shared" si="106"/>
        <v>0</v>
      </c>
      <c r="M344" s="224">
        <f t="shared" si="106"/>
        <v>0</v>
      </c>
      <c r="N344" s="224">
        <f t="shared" si="106"/>
        <v>0</v>
      </c>
      <c r="O344" s="224">
        <f t="shared" si="106"/>
        <v>0</v>
      </c>
      <c r="P344" s="224">
        <f t="shared" si="106"/>
        <v>0</v>
      </c>
      <c r="Q344" s="224">
        <f t="shared" si="106"/>
        <v>0</v>
      </c>
      <c r="R344" s="224">
        <f t="shared" si="106"/>
        <v>0</v>
      </c>
      <c r="S344" s="224">
        <f t="shared" si="106"/>
        <v>0</v>
      </c>
      <c r="T344" s="224">
        <f t="shared" si="106"/>
        <v>0</v>
      </c>
      <c r="U344" s="224">
        <f t="shared" si="106"/>
        <v>0</v>
      </c>
      <c r="V344" s="224">
        <f t="shared" si="106"/>
        <v>0</v>
      </c>
      <c r="W344" s="224">
        <f t="shared" si="106"/>
        <v>0</v>
      </c>
      <c r="X344" s="224">
        <f t="shared" si="106"/>
        <v>0</v>
      </c>
      <c r="Y344" s="224">
        <f t="shared" si="106"/>
        <v>0</v>
      </c>
      <c r="Z344" s="224">
        <f t="shared" si="106"/>
        <v>0</v>
      </c>
      <c r="AA344" s="224">
        <f t="shared" si="106"/>
        <v>0</v>
      </c>
      <c r="AB344" s="224">
        <f t="shared" si="106"/>
        <v>0</v>
      </c>
      <c r="AC344" s="224">
        <f t="shared" si="106"/>
        <v>0</v>
      </c>
      <c r="AD344" s="224">
        <f t="shared" si="106"/>
        <v>0</v>
      </c>
      <c r="AE344" s="224">
        <f t="shared" si="106"/>
        <v>0</v>
      </c>
      <c r="AF344" s="224">
        <f t="shared" si="106"/>
        <v>0</v>
      </c>
      <c r="AG344" s="224">
        <f t="shared" si="106"/>
        <v>0</v>
      </c>
      <c r="AH344" s="224">
        <f t="shared" si="106"/>
        <v>0</v>
      </c>
      <c r="AI344" s="224">
        <f t="shared" si="106"/>
        <v>0</v>
      </c>
      <c r="AJ344" s="224">
        <f t="shared" ref="K344:AS346" si="109">IF((AJ$3=$D344),$C344,0)</f>
        <v>0</v>
      </c>
      <c r="AK344" s="224">
        <f t="shared" si="109"/>
        <v>0</v>
      </c>
      <c r="AL344" s="224">
        <f t="shared" si="109"/>
        <v>0</v>
      </c>
      <c r="AM344" s="224">
        <f t="shared" si="109"/>
        <v>0</v>
      </c>
      <c r="AN344" s="224">
        <f t="shared" si="109"/>
        <v>0</v>
      </c>
      <c r="AO344" s="224">
        <f t="shared" si="109"/>
        <v>0</v>
      </c>
      <c r="AP344" s="224">
        <f t="shared" si="109"/>
        <v>0</v>
      </c>
      <c r="AQ344" s="224">
        <f t="shared" si="109"/>
        <v>0</v>
      </c>
      <c r="AR344" s="224">
        <f t="shared" si="109"/>
        <v>0</v>
      </c>
      <c r="AS344" s="224">
        <f t="shared" si="109"/>
        <v>0</v>
      </c>
    </row>
    <row r="345" spans="1:140" hidden="1" outlineLevel="1">
      <c r="B345" s="9" t="s">
        <v>331</v>
      </c>
      <c r="C345" s="353">
        <f>H311</f>
        <v>0</v>
      </c>
      <c r="D345" s="241">
        <f>'Input - Option 2 Detailed Input'!D322</f>
        <v>2033</v>
      </c>
      <c r="E345" s="9" t="str">
        <f>'Input - Option 2 Detailed Input'!E322</f>
        <v>YEAR WITHIN RANGE</v>
      </c>
      <c r="H345" s="343">
        <f t="shared" si="107"/>
        <v>0</v>
      </c>
      <c r="I345" s="211"/>
      <c r="J345" s="224">
        <f t="shared" si="108"/>
        <v>0</v>
      </c>
      <c r="K345" s="224">
        <f t="shared" si="109"/>
        <v>0</v>
      </c>
      <c r="L345" s="224">
        <f t="shared" si="109"/>
        <v>0</v>
      </c>
      <c r="M345" s="224">
        <f t="shared" si="109"/>
        <v>0</v>
      </c>
      <c r="N345" s="224">
        <f t="shared" si="109"/>
        <v>0</v>
      </c>
      <c r="O345" s="224">
        <f t="shared" si="109"/>
        <v>0</v>
      </c>
      <c r="P345" s="224">
        <f t="shared" si="109"/>
        <v>0</v>
      </c>
      <c r="Q345" s="224">
        <f t="shared" si="109"/>
        <v>0</v>
      </c>
      <c r="R345" s="224">
        <f t="shared" si="109"/>
        <v>0</v>
      </c>
      <c r="S345" s="224">
        <f t="shared" si="109"/>
        <v>0</v>
      </c>
      <c r="T345" s="224">
        <f t="shared" si="109"/>
        <v>0</v>
      </c>
      <c r="U345" s="224">
        <f t="shared" si="109"/>
        <v>0</v>
      </c>
      <c r="V345" s="224">
        <f t="shared" si="109"/>
        <v>0</v>
      </c>
      <c r="W345" s="224">
        <f t="shared" si="109"/>
        <v>0</v>
      </c>
      <c r="X345" s="224">
        <f t="shared" si="109"/>
        <v>0</v>
      </c>
      <c r="Y345" s="224">
        <f t="shared" si="109"/>
        <v>0</v>
      </c>
      <c r="Z345" s="224">
        <f t="shared" si="109"/>
        <v>0</v>
      </c>
      <c r="AA345" s="224">
        <f t="shared" si="109"/>
        <v>0</v>
      </c>
      <c r="AB345" s="224">
        <f t="shared" si="109"/>
        <v>0</v>
      </c>
      <c r="AC345" s="224">
        <f t="shared" si="109"/>
        <v>0</v>
      </c>
      <c r="AD345" s="224">
        <f t="shared" si="109"/>
        <v>0</v>
      </c>
      <c r="AE345" s="224">
        <f t="shared" si="109"/>
        <v>0</v>
      </c>
      <c r="AF345" s="224">
        <f t="shared" si="109"/>
        <v>0</v>
      </c>
      <c r="AG345" s="224">
        <f t="shared" si="109"/>
        <v>0</v>
      </c>
      <c r="AH345" s="224">
        <f t="shared" si="109"/>
        <v>0</v>
      </c>
      <c r="AI345" s="224">
        <f t="shared" si="109"/>
        <v>0</v>
      </c>
      <c r="AJ345" s="224">
        <f t="shared" si="109"/>
        <v>0</v>
      </c>
      <c r="AK345" s="224">
        <f t="shared" si="109"/>
        <v>0</v>
      </c>
      <c r="AL345" s="224">
        <f t="shared" si="109"/>
        <v>0</v>
      </c>
      <c r="AM345" s="224">
        <f t="shared" si="109"/>
        <v>0</v>
      </c>
      <c r="AN345" s="224">
        <f t="shared" si="109"/>
        <v>0</v>
      </c>
      <c r="AO345" s="224">
        <f t="shared" si="109"/>
        <v>0</v>
      </c>
      <c r="AP345" s="224">
        <f t="shared" si="109"/>
        <v>0</v>
      </c>
      <c r="AQ345" s="224">
        <f t="shared" si="109"/>
        <v>0</v>
      </c>
      <c r="AR345" s="224">
        <f t="shared" si="109"/>
        <v>0</v>
      </c>
      <c r="AS345" s="224">
        <f t="shared" si="109"/>
        <v>0</v>
      </c>
    </row>
    <row r="346" spans="1:140" hidden="1" outlineLevel="1">
      <c r="B346" s="9" t="s">
        <v>332</v>
      </c>
      <c r="C346" s="353">
        <f>H332</f>
        <v>0</v>
      </c>
      <c r="D346" s="241">
        <f>'Input - Option 2 Detailed Input'!D343</f>
        <v>2034</v>
      </c>
      <c r="E346" s="9" t="str">
        <f>'Input - Option 2 Detailed Input'!E343</f>
        <v>YEAR WITHIN RANGE</v>
      </c>
      <c r="H346" s="343">
        <f t="shared" si="107"/>
        <v>0</v>
      </c>
      <c r="I346" s="211"/>
      <c r="J346" s="224">
        <f t="shared" si="108"/>
        <v>0</v>
      </c>
      <c r="K346" s="224">
        <f t="shared" si="109"/>
        <v>0</v>
      </c>
      <c r="L346" s="224">
        <f t="shared" si="109"/>
        <v>0</v>
      </c>
      <c r="M346" s="224">
        <f t="shared" si="109"/>
        <v>0</v>
      </c>
      <c r="N346" s="224">
        <f t="shared" si="109"/>
        <v>0</v>
      </c>
      <c r="O346" s="224">
        <f t="shared" si="109"/>
        <v>0</v>
      </c>
      <c r="P346" s="224">
        <f t="shared" si="109"/>
        <v>0</v>
      </c>
      <c r="Q346" s="224">
        <f t="shared" si="109"/>
        <v>0</v>
      </c>
      <c r="R346" s="224">
        <f t="shared" si="109"/>
        <v>0</v>
      </c>
      <c r="S346" s="224">
        <f t="shared" si="109"/>
        <v>0</v>
      </c>
      <c r="T346" s="224">
        <f t="shared" si="109"/>
        <v>0</v>
      </c>
      <c r="U346" s="224">
        <f t="shared" si="109"/>
        <v>0</v>
      </c>
      <c r="V346" s="224">
        <f t="shared" si="109"/>
        <v>0</v>
      </c>
      <c r="W346" s="224">
        <f t="shared" si="109"/>
        <v>0</v>
      </c>
      <c r="X346" s="224">
        <f t="shared" si="109"/>
        <v>0</v>
      </c>
      <c r="Y346" s="224">
        <f t="shared" si="109"/>
        <v>0</v>
      </c>
      <c r="Z346" s="224">
        <f t="shared" si="109"/>
        <v>0</v>
      </c>
      <c r="AA346" s="224">
        <f t="shared" si="109"/>
        <v>0</v>
      </c>
      <c r="AB346" s="224">
        <f t="shared" si="109"/>
        <v>0</v>
      </c>
      <c r="AC346" s="224">
        <f t="shared" si="109"/>
        <v>0</v>
      </c>
      <c r="AD346" s="224">
        <f t="shared" si="109"/>
        <v>0</v>
      </c>
      <c r="AE346" s="224">
        <f t="shared" si="109"/>
        <v>0</v>
      </c>
      <c r="AF346" s="224">
        <f t="shared" si="109"/>
        <v>0</v>
      </c>
      <c r="AG346" s="224">
        <f t="shared" si="109"/>
        <v>0</v>
      </c>
      <c r="AH346" s="224">
        <f t="shared" si="109"/>
        <v>0</v>
      </c>
      <c r="AI346" s="224">
        <f t="shared" si="109"/>
        <v>0</v>
      </c>
      <c r="AJ346" s="224">
        <f t="shared" si="109"/>
        <v>0</v>
      </c>
      <c r="AK346" s="224">
        <f t="shared" si="109"/>
        <v>0</v>
      </c>
      <c r="AL346" s="224">
        <f t="shared" si="109"/>
        <v>0</v>
      </c>
      <c r="AM346" s="224">
        <f t="shared" si="109"/>
        <v>0</v>
      </c>
      <c r="AN346" s="224">
        <f t="shared" si="109"/>
        <v>0</v>
      </c>
      <c r="AO346" s="224">
        <f t="shared" si="109"/>
        <v>0</v>
      </c>
      <c r="AP346" s="224">
        <f t="shared" si="109"/>
        <v>0</v>
      </c>
      <c r="AQ346" s="224">
        <f t="shared" si="109"/>
        <v>0</v>
      </c>
      <c r="AR346" s="224">
        <f t="shared" si="109"/>
        <v>0</v>
      </c>
      <c r="AS346" s="224">
        <f t="shared" si="109"/>
        <v>0</v>
      </c>
    </row>
    <row r="347" spans="1:140" hidden="1" outlineLevel="1">
      <c r="H347" s="343"/>
      <c r="J347" s="23"/>
      <c r="K347" s="23"/>
      <c r="L347" s="23"/>
      <c r="M347" s="23"/>
      <c r="N347" s="23"/>
      <c r="O347" s="23"/>
      <c r="P347" s="23"/>
      <c r="Q347" s="23"/>
      <c r="R347" s="23"/>
      <c r="S347" s="23"/>
      <c r="T347" s="23"/>
      <c r="U347" s="23"/>
      <c r="V347" s="23"/>
      <c r="W347" s="23"/>
      <c r="X347" s="23"/>
      <c r="Y347" s="23"/>
      <c r="Z347" s="23"/>
      <c r="AA347" s="23"/>
      <c r="AB347" s="23"/>
      <c r="AC347" s="23"/>
      <c r="AD347" s="23"/>
      <c r="AE347" s="23"/>
      <c r="AF347" s="23"/>
      <c r="AG347" s="23"/>
      <c r="AH347" s="23"/>
      <c r="AI347" s="23"/>
      <c r="AJ347" s="23"/>
      <c r="AK347" s="23"/>
      <c r="AL347" s="23"/>
      <c r="AM347" s="23"/>
      <c r="AN347" s="23"/>
      <c r="AO347" s="23"/>
      <c r="AP347" s="23"/>
      <c r="AQ347" s="23"/>
      <c r="AR347" s="23"/>
      <c r="AS347" s="23"/>
    </row>
    <row r="348" spans="1:140" hidden="1" outlineLevel="1">
      <c r="A348" s="15"/>
      <c r="B348" s="454" t="s">
        <v>333</v>
      </c>
      <c r="C348" s="454"/>
      <c r="D348" s="454"/>
      <c r="E348" s="454"/>
      <c r="F348" s="454"/>
      <c r="G348" s="455"/>
      <c r="H348" s="259">
        <f>SUM(H122,H337:H346)</f>
        <v>0</v>
      </c>
      <c r="I348" s="215"/>
      <c r="J348" s="225">
        <f>SUM(J122,J337:J346)</f>
        <v>0</v>
      </c>
      <c r="K348" s="225">
        <f>SUM(K122,K337:K346)</f>
        <v>0</v>
      </c>
      <c r="L348" s="225">
        <f t="shared" ref="L348:AS348" si="110">SUM(L122,L337:L346)</f>
        <v>0</v>
      </c>
      <c r="M348" s="225">
        <f t="shared" si="110"/>
        <v>0</v>
      </c>
      <c r="N348" s="225">
        <f t="shared" si="110"/>
        <v>0</v>
      </c>
      <c r="O348" s="225">
        <f t="shared" si="110"/>
        <v>0</v>
      </c>
      <c r="P348" s="225">
        <f t="shared" si="110"/>
        <v>0</v>
      </c>
      <c r="Q348" s="225">
        <f t="shared" si="110"/>
        <v>0</v>
      </c>
      <c r="R348" s="225">
        <f t="shared" si="110"/>
        <v>0</v>
      </c>
      <c r="S348" s="225">
        <f t="shared" si="110"/>
        <v>0</v>
      </c>
      <c r="T348" s="225">
        <f t="shared" si="110"/>
        <v>0</v>
      </c>
      <c r="U348" s="225">
        <f t="shared" si="110"/>
        <v>0</v>
      </c>
      <c r="V348" s="225">
        <f t="shared" si="110"/>
        <v>0</v>
      </c>
      <c r="W348" s="225">
        <f t="shared" si="110"/>
        <v>0</v>
      </c>
      <c r="X348" s="225">
        <f t="shared" si="110"/>
        <v>0</v>
      </c>
      <c r="Y348" s="225">
        <f t="shared" si="110"/>
        <v>0</v>
      </c>
      <c r="Z348" s="225">
        <f t="shared" si="110"/>
        <v>0</v>
      </c>
      <c r="AA348" s="225">
        <f t="shared" si="110"/>
        <v>0</v>
      </c>
      <c r="AB348" s="225">
        <f t="shared" si="110"/>
        <v>0</v>
      </c>
      <c r="AC348" s="225">
        <f t="shared" si="110"/>
        <v>0</v>
      </c>
      <c r="AD348" s="225">
        <f t="shared" si="110"/>
        <v>0</v>
      </c>
      <c r="AE348" s="225">
        <f t="shared" si="110"/>
        <v>0</v>
      </c>
      <c r="AF348" s="225">
        <f t="shared" si="110"/>
        <v>0</v>
      </c>
      <c r="AG348" s="225">
        <f t="shared" si="110"/>
        <v>0</v>
      </c>
      <c r="AH348" s="225">
        <f t="shared" si="110"/>
        <v>0</v>
      </c>
      <c r="AI348" s="225">
        <f t="shared" si="110"/>
        <v>0</v>
      </c>
      <c r="AJ348" s="225">
        <f t="shared" si="110"/>
        <v>0</v>
      </c>
      <c r="AK348" s="225">
        <f t="shared" si="110"/>
        <v>0</v>
      </c>
      <c r="AL348" s="225">
        <f t="shared" si="110"/>
        <v>0</v>
      </c>
      <c r="AM348" s="225">
        <f t="shared" si="110"/>
        <v>0</v>
      </c>
      <c r="AN348" s="225">
        <f t="shared" si="110"/>
        <v>0</v>
      </c>
      <c r="AO348" s="225">
        <f t="shared" si="110"/>
        <v>0</v>
      </c>
      <c r="AP348" s="225">
        <f t="shared" si="110"/>
        <v>0</v>
      </c>
      <c r="AQ348" s="225">
        <f t="shared" si="110"/>
        <v>0</v>
      </c>
      <c r="AR348" s="225">
        <f t="shared" si="110"/>
        <v>0</v>
      </c>
      <c r="AS348" s="225">
        <f t="shared" si="110"/>
        <v>0</v>
      </c>
    </row>
    <row r="349" spans="1:140" collapsed="1">
      <c r="H349" s="17"/>
      <c r="J349" s="23"/>
      <c r="K349" s="23"/>
      <c r="L349" s="23"/>
      <c r="M349" s="23"/>
      <c r="N349" s="23"/>
      <c r="O349" s="23"/>
      <c r="P349" s="23"/>
      <c r="Q349" s="23"/>
      <c r="R349" s="23"/>
      <c r="S349" s="23"/>
      <c r="T349" s="23"/>
      <c r="U349" s="23"/>
      <c r="V349" s="23"/>
      <c r="W349" s="23"/>
      <c r="X349" s="23"/>
      <c r="Y349" s="23"/>
      <c r="Z349" s="23"/>
      <c r="AA349" s="23"/>
      <c r="AB349" s="23"/>
      <c r="AC349" s="23"/>
      <c r="AD349" s="23"/>
      <c r="AE349" s="23"/>
      <c r="AF349" s="23"/>
      <c r="AG349" s="23"/>
      <c r="AH349" s="23"/>
      <c r="AI349" s="23"/>
      <c r="AJ349" s="23"/>
      <c r="AK349" s="23"/>
      <c r="AL349" s="23"/>
      <c r="AM349" s="23"/>
      <c r="AN349" s="23"/>
      <c r="AO349" s="23"/>
      <c r="AP349" s="23"/>
      <c r="AQ349" s="23"/>
      <c r="AR349" s="23"/>
      <c r="AS349" s="23"/>
    </row>
    <row r="350" spans="1:140" s="294" customFormat="1" ht="23.45">
      <c r="A350" s="4"/>
      <c r="B350" s="295" t="str">
        <f>'Input - Option 2 Detailed Input'!C365</f>
        <v>5. Long-term maintenance</v>
      </c>
      <c r="C350" s="296"/>
      <c r="D350" s="296"/>
      <c r="E350" s="296"/>
      <c r="F350" s="296"/>
      <c r="G350" s="296"/>
      <c r="H350" s="297"/>
      <c r="I350" s="296"/>
      <c r="J350" s="298"/>
      <c r="K350" s="298"/>
      <c r="L350" s="298"/>
      <c r="M350" s="298"/>
      <c r="N350" s="298"/>
      <c r="O350" s="298"/>
      <c r="P350" s="298"/>
      <c r="Q350" s="298"/>
      <c r="R350" s="298"/>
      <c r="S350" s="298"/>
      <c r="T350" s="298"/>
      <c r="U350" s="298"/>
      <c r="V350" s="298"/>
      <c r="W350" s="298"/>
      <c r="X350" s="298"/>
      <c r="Y350" s="298"/>
      <c r="Z350" s="298"/>
      <c r="AA350" s="298"/>
      <c r="AB350" s="298"/>
      <c r="AC350" s="298"/>
      <c r="AD350" s="298"/>
      <c r="AE350" s="298"/>
      <c r="AF350" s="298"/>
      <c r="AG350" s="298"/>
      <c r="AH350" s="298"/>
      <c r="AI350" s="298"/>
      <c r="AJ350" s="298"/>
      <c r="AK350" s="298"/>
      <c r="AL350" s="298"/>
      <c r="AM350" s="298"/>
      <c r="AN350" s="298"/>
      <c r="AO350" s="298"/>
      <c r="AP350" s="298"/>
      <c r="AQ350" s="298"/>
      <c r="AR350" s="298"/>
      <c r="AS350" s="298"/>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c r="CD350"/>
      <c r="CE350"/>
      <c r="CF350"/>
      <c r="CG350"/>
      <c r="CH350"/>
      <c r="CI350"/>
      <c r="CJ350"/>
      <c r="CK350"/>
      <c r="CL350"/>
      <c r="CM350"/>
      <c r="CN350"/>
      <c r="CO350"/>
      <c r="CP350"/>
      <c r="CQ350"/>
      <c r="CR350"/>
      <c r="CS350"/>
      <c r="CT350"/>
      <c r="CU350"/>
      <c r="CV350"/>
      <c r="CW350"/>
      <c r="CX350"/>
      <c r="CY350"/>
      <c r="CZ350"/>
      <c r="DA350"/>
      <c r="DB350"/>
      <c r="DC350"/>
      <c r="DD350"/>
      <c r="DE350"/>
      <c r="DF350"/>
      <c r="DG350"/>
      <c r="DH350"/>
      <c r="DI350"/>
      <c r="DJ350"/>
      <c r="DK350"/>
      <c r="DL350"/>
      <c r="DM350"/>
      <c r="DN350"/>
      <c r="DO350"/>
      <c r="DP350"/>
      <c r="DQ350"/>
      <c r="DR350"/>
      <c r="DS350"/>
      <c r="DT350"/>
      <c r="DU350"/>
      <c r="DV350"/>
      <c r="DW350"/>
      <c r="DX350"/>
      <c r="DY350"/>
      <c r="DZ350"/>
      <c r="EA350"/>
      <c r="EB350"/>
      <c r="EC350"/>
      <c r="ED350"/>
      <c r="EE350"/>
      <c r="EF350"/>
      <c r="EG350"/>
      <c r="EH350"/>
      <c r="EI350"/>
      <c r="EJ350"/>
    </row>
    <row r="351" spans="1:140" hidden="1" outlineLevel="1">
      <c r="H351" s="17"/>
      <c r="J351" s="23"/>
      <c r="K351" s="23"/>
      <c r="L351" s="23"/>
      <c r="M351" s="23"/>
      <c r="N351" s="23"/>
      <c r="O351" s="23"/>
      <c r="P351" s="23"/>
      <c r="Q351" s="23"/>
      <c r="R351" s="23"/>
      <c r="S351" s="23"/>
      <c r="T351" s="23"/>
      <c r="U351" s="23"/>
      <c r="V351" s="23"/>
      <c r="W351" s="23"/>
      <c r="X351" s="23"/>
      <c r="Y351" s="23"/>
      <c r="Z351" s="23"/>
      <c r="AA351" s="23"/>
      <c r="AB351" s="23"/>
      <c r="AC351" s="23"/>
      <c r="AD351" s="23"/>
      <c r="AE351" s="23"/>
      <c r="AF351" s="23"/>
      <c r="AG351" s="23"/>
      <c r="AH351" s="23"/>
      <c r="AI351" s="23"/>
      <c r="AJ351" s="23"/>
      <c r="AK351" s="23"/>
      <c r="AL351" s="23"/>
      <c r="AM351" s="23"/>
      <c r="AN351" s="23"/>
      <c r="AO351" s="23"/>
      <c r="AP351" s="23"/>
      <c r="AQ351" s="23"/>
      <c r="AR351" s="23"/>
      <c r="AS351" s="23"/>
    </row>
    <row r="352" spans="1:140" hidden="1" outlineLevel="1">
      <c r="C352" s="25" t="str">
        <f>'Input - Option 2 Detailed Input'!D372</f>
        <v>Costs start in</v>
      </c>
      <c r="D352" s="25" t="str">
        <f>'Input - Option 2 Detailed Input'!E372</f>
        <v>Costs end in</v>
      </c>
      <c r="H352" s="17"/>
      <c r="J352" s="23"/>
      <c r="K352" s="23"/>
      <c r="L352" s="23"/>
      <c r="M352" s="23"/>
      <c r="N352" s="23"/>
      <c r="O352" s="23"/>
      <c r="P352" s="23"/>
      <c r="Q352" s="23"/>
      <c r="R352" s="23"/>
      <c r="S352" s="23"/>
      <c r="T352" s="23"/>
      <c r="U352" s="23"/>
      <c r="V352" s="23"/>
      <c r="W352" s="23"/>
      <c r="X352" s="23"/>
      <c r="Y352" s="23"/>
      <c r="Z352" s="23"/>
      <c r="AA352" s="23"/>
      <c r="AB352" s="23"/>
      <c r="AC352" s="23"/>
      <c r="AD352" s="23"/>
      <c r="AE352" s="23"/>
      <c r="AF352" s="23"/>
      <c r="AG352" s="23"/>
      <c r="AH352" s="23"/>
      <c r="AI352" s="23"/>
      <c r="AJ352" s="23"/>
      <c r="AK352" s="23"/>
      <c r="AL352" s="23"/>
      <c r="AM352" s="23"/>
      <c r="AN352" s="23"/>
      <c r="AO352" s="23"/>
      <c r="AP352" s="23"/>
      <c r="AQ352" s="23"/>
      <c r="AR352" s="23"/>
      <c r="AS352" s="23"/>
    </row>
    <row r="353" spans="1:140" hidden="1" outlineLevel="1">
      <c r="B353" s="20" t="str">
        <f>'Input - Option 2 Detailed Input'!C388</f>
        <v>Costs occuring in Year</v>
      </c>
      <c r="C353" s="241" t="str">
        <f>IF(C3=C4,'Input - Option 2 Detailed Input'!D373,"-")</f>
        <v>-</v>
      </c>
      <c r="D353" s="241" t="str">
        <f>IF(C3=C4,'Input - General and Overview'!C5,"-")</f>
        <v>-</v>
      </c>
      <c r="H353" s="17"/>
      <c r="J353" s="23"/>
      <c r="K353" s="23"/>
      <c r="L353" s="23"/>
      <c r="M353" s="23"/>
      <c r="N353" s="23"/>
      <c r="O353" s="23"/>
      <c r="P353" s="23"/>
      <c r="Q353" s="23"/>
      <c r="R353" s="23"/>
      <c r="S353" s="23"/>
      <c r="T353" s="23"/>
      <c r="U353" s="23"/>
      <c r="V353" s="23"/>
      <c r="W353" s="23"/>
      <c r="X353" s="23"/>
      <c r="Y353" s="23"/>
      <c r="Z353" s="23"/>
      <c r="AA353" s="23"/>
      <c r="AB353" s="23"/>
      <c r="AC353" s="23"/>
      <c r="AD353" s="23"/>
      <c r="AE353" s="23"/>
      <c r="AF353" s="23"/>
      <c r="AG353" s="23"/>
      <c r="AH353" s="23"/>
      <c r="AI353" s="23"/>
      <c r="AJ353" s="23"/>
      <c r="AK353" s="23"/>
      <c r="AL353" s="23"/>
      <c r="AM353" s="23"/>
      <c r="AN353" s="23"/>
      <c r="AO353" s="23"/>
      <c r="AP353" s="23"/>
      <c r="AQ353" s="23"/>
      <c r="AR353" s="23"/>
      <c r="AS353" s="23"/>
    </row>
    <row r="354" spans="1:140" hidden="1" outlineLevel="1">
      <c r="H354" s="17"/>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row>
    <row r="355" spans="1:140" hidden="1" outlineLevel="1">
      <c r="H355" s="17"/>
      <c r="J355" s="23"/>
      <c r="K355" s="23"/>
      <c r="L355" s="23"/>
      <c r="M355" s="23"/>
      <c r="N355" s="23"/>
      <c r="O355" s="23"/>
      <c r="P355" s="23"/>
      <c r="Q355" s="23"/>
      <c r="R355" s="23"/>
      <c r="S355" s="23"/>
      <c r="T355" s="23"/>
      <c r="U355" s="23"/>
      <c r="V355" s="23"/>
      <c r="W355" s="23"/>
      <c r="X355" s="23"/>
      <c r="Y355" s="23"/>
      <c r="Z355" s="23"/>
      <c r="AA355" s="23"/>
      <c r="AB355" s="23"/>
      <c r="AC355" s="23"/>
      <c r="AD355" s="23"/>
      <c r="AE355" s="23"/>
      <c r="AF355" s="23"/>
      <c r="AG355" s="23"/>
      <c r="AH355" s="23"/>
      <c r="AI355" s="23"/>
      <c r="AJ355" s="23"/>
      <c r="AK355" s="23"/>
      <c r="AL355" s="23"/>
      <c r="AM355" s="23"/>
      <c r="AN355" s="23"/>
      <c r="AO355" s="23"/>
      <c r="AP355" s="23"/>
      <c r="AQ355" s="23"/>
      <c r="AR355" s="23"/>
      <c r="AS355" s="23"/>
    </row>
    <row r="356" spans="1:140" hidden="1" outlineLevel="1">
      <c r="B356" s="20" t="str">
        <f>'Input - Option 2 Detailed Input'!C377</f>
        <v>Costs of visits</v>
      </c>
      <c r="C356" s="30">
        <f>'Input - Option 2 Detailed Input'!F376</f>
        <v>0</v>
      </c>
      <c r="H356" s="343">
        <f>SUM(J356:EJ356)</f>
        <v>0</v>
      </c>
      <c r="I356" s="211"/>
      <c r="J356" s="224">
        <f>-IF(AND(J$3&gt;=$C$353,J$3&lt;=$D$353),($C356)*J$4,)</f>
        <v>0</v>
      </c>
      <c r="K356" s="224">
        <f t="shared" ref="K356:AS356" si="111">-IF(AND(K$3&gt;=$C$353,K$3&lt;=$D$353),($C356)*K$4,)</f>
        <v>0</v>
      </c>
      <c r="L356" s="224">
        <f t="shared" si="111"/>
        <v>0</v>
      </c>
      <c r="M356" s="224">
        <f t="shared" si="111"/>
        <v>0</v>
      </c>
      <c r="N356" s="224">
        <f t="shared" si="111"/>
        <v>0</v>
      </c>
      <c r="O356" s="224">
        <f t="shared" si="111"/>
        <v>0</v>
      </c>
      <c r="P356" s="224">
        <f t="shared" si="111"/>
        <v>0</v>
      </c>
      <c r="Q356" s="224">
        <f t="shared" si="111"/>
        <v>0</v>
      </c>
      <c r="R356" s="224">
        <f t="shared" si="111"/>
        <v>0</v>
      </c>
      <c r="S356" s="224">
        <f t="shared" si="111"/>
        <v>0</v>
      </c>
      <c r="T356" s="224">
        <f t="shared" si="111"/>
        <v>0</v>
      </c>
      <c r="U356" s="224">
        <f t="shared" si="111"/>
        <v>0</v>
      </c>
      <c r="V356" s="224">
        <f t="shared" si="111"/>
        <v>0</v>
      </c>
      <c r="W356" s="224">
        <f t="shared" si="111"/>
        <v>0</v>
      </c>
      <c r="X356" s="224">
        <f t="shared" si="111"/>
        <v>0</v>
      </c>
      <c r="Y356" s="224">
        <f t="shared" si="111"/>
        <v>0</v>
      </c>
      <c r="Z356" s="224">
        <f t="shared" si="111"/>
        <v>0</v>
      </c>
      <c r="AA356" s="224">
        <f t="shared" si="111"/>
        <v>0</v>
      </c>
      <c r="AB356" s="224">
        <f t="shared" si="111"/>
        <v>0</v>
      </c>
      <c r="AC356" s="224">
        <f t="shared" si="111"/>
        <v>0</v>
      </c>
      <c r="AD356" s="224">
        <f t="shared" si="111"/>
        <v>0</v>
      </c>
      <c r="AE356" s="224">
        <f t="shared" si="111"/>
        <v>0</v>
      </c>
      <c r="AF356" s="224">
        <f t="shared" si="111"/>
        <v>0</v>
      </c>
      <c r="AG356" s="224">
        <f t="shared" si="111"/>
        <v>0</v>
      </c>
      <c r="AH356" s="224">
        <f t="shared" si="111"/>
        <v>0</v>
      </c>
      <c r="AI356" s="224">
        <f t="shared" si="111"/>
        <v>0</v>
      </c>
      <c r="AJ356" s="224">
        <f t="shared" si="111"/>
        <v>0</v>
      </c>
      <c r="AK356" s="224">
        <f t="shared" si="111"/>
        <v>0</v>
      </c>
      <c r="AL356" s="224">
        <f t="shared" si="111"/>
        <v>0</v>
      </c>
      <c r="AM356" s="224">
        <f t="shared" si="111"/>
        <v>0</v>
      </c>
      <c r="AN356" s="224">
        <f t="shared" si="111"/>
        <v>0</v>
      </c>
      <c r="AO356" s="224">
        <f t="shared" si="111"/>
        <v>0</v>
      </c>
      <c r="AP356" s="224">
        <f t="shared" si="111"/>
        <v>0</v>
      </c>
      <c r="AQ356" s="224">
        <f t="shared" si="111"/>
        <v>0</v>
      </c>
      <c r="AR356" s="224">
        <f t="shared" si="111"/>
        <v>0</v>
      </c>
      <c r="AS356" s="224">
        <f t="shared" si="111"/>
        <v>0</v>
      </c>
    </row>
    <row r="357" spans="1:140" hidden="1" outlineLevel="1">
      <c r="H357" s="17"/>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23"/>
      <c r="AG357" s="23"/>
      <c r="AH357" s="23"/>
      <c r="AI357" s="23"/>
      <c r="AJ357" s="23"/>
      <c r="AK357" s="23"/>
      <c r="AL357" s="23"/>
      <c r="AM357" s="23"/>
      <c r="AN357" s="23"/>
      <c r="AO357" s="23"/>
      <c r="AP357" s="23"/>
      <c r="AQ357" s="23"/>
      <c r="AR357" s="23"/>
      <c r="AS357" s="23"/>
    </row>
    <row r="358" spans="1:140" hidden="1" outlineLevel="1">
      <c r="A358" s="15"/>
      <c r="B358" s="454" t="s">
        <v>334</v>
      </c>
      <c r="C358" s="454"/>
      <c r="D358" s="454"/>
      <c r="E358" s="454"/>
      <c r="F358" s="454"/>
      <c r="G358" s="455"/>
      <c r="H358" s="259">
        <f>SUM(H356)</f>
        <v>0</v>
      </c>
      <c r="I358" s="215"/>
      <c r="J358" s="225">
        <f>SUM(J356)</f>
        <v>0</v>
      </c>
      <c r="K358" s="225">
        <f>SUM(K356)</f>
        <v>0</v>
      </c>
      <c r="L358" s="225">
        <f t="shared" ref="L358:AS358" si="112">SUM(L356)</f>
        <v>0</v>
      </c>
      <c r="M358" s="225">
        <f t="shared" si="112"/>
        <v>0</v>
      </c>
      <c r="N358" s="225">
        <f t="shared" si="112"/>
        <v>0</v>
      </c>
      <c r="O358" s="225">
        <f t="shared" si="112"/>
        <v>0</v>
      </c>
      <c r="P358" s="225">
        <f t="shared" si="112"/>
        <v>0</v>
      </c>
      <c r="Q358" s="225">
        <f t="shared" si="112"/>
        <v>0</v>
      </c>
      <c r="R358" s="225">
        <f t="shared" si="112"/>
        <v>0</v>
      </c>
      <c r="S358" s="225">
        <f t="shared" si="112"/>
        <v>0</v>
      </c>
      <c r="T358" s="225">
        <f t="shared" si="112"/>
        <v>0</v>
      </c>
      <c r="U358" s="225">
        <f t="shared" si="112"/>
        <v>0</v>
      </c>
      <c r="V358" s="225">
        <f t="shared" si="112"/>
        <v>0</v>
      </c>
      <c r="W358" s="225">
        <f t="shared" si="112"/>
        <v>0</v>
      </c>
      <c r="X358" s="225">
        <f t="shared" si="112"/>
        <v>0</v>
      </c>
      <c r="Y358" s="225">
        <f t="shared" si="112"/>
        <v>0</v>
      </c>
      <c r="Z358" s="225">
        <f t="shared" si="112"/>
        <v>0</v>
      </c>
      <c r="AA358" s="225">
        <f t="shared" si="112"/>
        <v>0</v>
      </c>
      <c r="AB358" s="225">
        <f t="shared" si="112"/>
        <v>0</v>
      </c>
      <c r="AC358" s="225">
        <f t="shared" si="112"/>
        <v>0</v>
      </c>
      <c r="AD358" s="225">
        <f t="shared" si="112"/>
        <v>0</v>
      </c>
      <c r="AE358" s="225">
        <f t="shared" si="112"/>
        <v>0</v>
      </c>
      <c r="AF358" s="225">
        <f t="shared" si="112"/>
        <v>0</v>
      </c>
      <c r="AG358" s="225">
        <f t="shared" si="112"/>
        <v>0</v>
      </c>
      <c r="AH358" s="225">
        <f t="shared" si="112"/>
        <v>0</v>
      </c>
      <c r="AI358" s="225">
        <f t="shared" si="112"/>
        <v>0</v>
      </c>
      <c r="AJ358" s="225">
        <f t="shared" si="112"/>
        <v>0</v>
      </c>
      <c r="AK358" s="225">
        <f t="shared" si="112"/>
        <v>0</v>
      </c>
      <c r="AL358" s="225">
        <f t="shared" si="112"/>
        <v>0</v>
      </c>
      <c r="AM358" s="225">
        <f t="shared" si="112"/>
        <v>0</v>
      </c>
      <c r="AN358" s="225">
        <f t="shared" si="112"/>
        <v>0</v>
      </c>
      <c r="AO358" s="225">
        <f t="shared" si="112"/>
        <v>0</v>
      </c>
      <c r="AP358" s="225">
        <f t="shared" si="112"/>
        <v>0</v>
      </c>
      <c r="AQ358" s="225">
        <f t="shared" si="112"/>
        <v>0</v>
      </c>
      <c r="AR358" s="225">
        <f t="shared" si="112"/>
        <v>0</v>
      </c>
      <c r="AS358" s="225">
        <f t="shared" si="112"/>
        <v>0</v>
      </c>
    </row>
    <row r="359" spans="1:140" collapsed="1">
      <c r="H359" s="17"/>
      <c r="J359" s="23"/>
      <c r="K359" s="23"/>
      <c r="L359" s="23"/>
      <c r="M359" s="23"/>
      <c r="N359" s="23"/>
      <c r="O359" s="23"/>
      <c r="P359" s="23"/>
      <c r="Q359" s="23"/>
      <c r="R359" s="23"/>
      <c r="S359" s="23"/>
      <c r="T359" s="23"/>
      <c r="U359" s="23"/>
      <c r="V359" s="23"/>
      <c r="W359" s="23"/>
      <c r="X359" s="23"/>
      <c r="Y359" s="23"/>
      <c r="Z359" s="23"/>
      <c r="AA359" s="23"/>
      <c r="AB359" s="23"/>
      <c r="AC359" s="23"/>
      <c r="AD359" s="23"/>
      <c r="AE359" s="23"/>
      <c r="AF359" s="23"/>
      <c r="AG359" s="23"/>
      <c r="AH359" s="23"/>
      <c r="AI359" s="23"/>
      <c r="AJ359" s="23"/>
      <c r="AK359" s="23"/>
      <c r="AL359" s="23"/>
      <c r="AM359" s="23"/>
      <c r="AN359" s="23"/>
      <c r="AO359" s="23"/>
      <c r="AP359" s="23"/>
      <c r="AQ359" s="23"/>
      <c r="AR359" s="23"/>
      <c r="AS359" s="23"/>
    </row>
    <row r="360" spans="1:140" s="294" customFormat="1" ht="23.45">
      <c r="A360" s="4"/>
      <c r="B360" s="295" t="str">
        <f>'Input - Option 2 Detailed Input'!C379</f>
        <v>6. Monitoring, Reporting and Verification (MRV) costs</v>
      </c>
      <c r="C360" s="296"/>
      <c r="D360" s="296"/>
      <c r="E360" s="296"/>
      <c r="F360" s="296"/>
      <c r="G360" s="296"/>
      <c r="H360" s="297"/>
      <c r="I360" s="296"/>
      <c r="J360" s="298"/>
      <c r="K360" s="298"/>
      <c r="L360" s="298"/>
      <c r="M360" s="298"/>
      <c r="N360" s="298"/>
      <c r="O360" s="298"/>
      <c r="P360" s="298"/>
      <c r="Q360" s="298"/>
      <c r="R360" s="298"/>
      <c r="S360" s="298"/>
      <c r="T360" s="298"/>
      <c r="U360" s="298"/>
      <c r="V360" s="298"/>
      <c r="W360" s="298"/>
      <c r="X360" s="298"/>
      <c r="Y360" s="298"/>
      <c r="Z360" s="298"/>
      <c r="AA360" s="298"/>
      <c r="AB360" s="298"/>
      <c r="AC360" s="298"/>
      <c r="AD360" s="298"/>
      <c r="AE360" s="298"/>
      <c r="AF360" s="298"/>
      <c r="AG360" s="298"/>
      <c r="AH360" s="298"/>
      <c r="AI360" s="298"/>
      <c r="AJ360" s="298"/>
      <c r="AK360" s="298"/>
      <c r="AL360" s="298"/>
      <c r="AM360" s="298"/>
      <c r="AN360" s="298"/>
      <c r="AO360" s="298"/>
      <c r="AP360" s="298"/>
      <c r="AQ360" s="298"/>
      <c r="AR360" s="298"/>
      <c r="AS360" s="298"/>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c r="CD360"/>
      <c r="CE360"/>
      <c r="CF360"/>
      <c r="CG360"/>
      <c r="CH360"/>
      <c r="CI360"/>
      <c r="CJ360"/>
      <c r="CK360"/>
      <c r="CL360"/>
      <c r="CM360"/>
      <c r="CN360"/>
      <c r="CO360"/>
      <c r="CP360"/>
      <c r="CQ360"/>
      <c r="CR360"/>
      <c r="CS360"/>
      <c r="CT360"/>
      <c r="CU360"/>
      <c r="CV360"/>
      <c r="CW360"/>
      <c r="CX360"/>
      <c r="CY360"/>
      <c r="CZ360"/>
      <c r="DA360"/>
      <c r="DB360"/>
      <c r="DC360"/>
      <c r="DD360"/>
      <c r="DE360"/>
      <c r="DF360"/>
      <c r="DG360"/>
      <c r="DH360"/>
      <c r="DI360"/>
      <c r="DJ360"/>
      <c r="DK360"/>
      <c r="DL360"/>
      <c r="DM360"/>
      <c r="DN360"/>
      <c r="DO360"/>
      <c r="DP360"/>
      <c r="DQ360"/>
      <c r="DR360"/>
      <c r="DS360"/>
      <c r="DT360"/>
      <c r="DU360"/>
      <c r="DV360"/>
      <c r="DW360"/>
      <c r="DX360"/>
      <c r="DY360"/>
      <c r="DZ360"/>
      <c r="EA360"/>
      <c r="EB360"/>
      <c r="EC360"/>
      <c r="ED360"/>
      <c r="EE360"/>
      <c r="EF360"/>
      <c r="EG360"/>
      <c r="EH360"/>
      <c r="EI360"/>
      <c r="EJ360"/>
    </row>
    <row r="361" spans="1:140" hidden="1" outlineLevel="1">
      <c r="H361" s="17"/>
      <c r="J361" s="23"/>
      <c r="K361" s="23"/>
      <c r="L361" s="23"/>
      <c r="M361" s="23"/>
      <c r="N361" s="23"/>
      <c r="O361" s="23"/>
      <c r="P361" s="23"/>
      <c r="Q361" s="23"/>
      <c r="R361" s="23"/>
      <c r="S361" s="23"/>
      <c r="T361" s="23"/>
      <c r="U361" s="23"/>
      <c r="V361" s="23"/>
      <c r="W361" s="23"/>
      <c r="X361" s="23"/>
      <c r="Y361" s="23"/>
      <c r="Z361" s="23"/>
      <c r="AA361" s="23"/>
      <c r="AB361" s="23"/>
      <c r="AC361" s="23"/>
      <c r="AD361" s="23"/>
      <c r="AE361" s="23"/>
      <c r="AF361" s="23"/>
      <c r="AG361" s="23"/>
      <c r="AH361" s="23"/>
      <c r="AI361" s="23"/>
      <c r="AJ361" s="23"/>
      <c r="AK361" s="23"/>
      <c r="AL361" s="23"/>
      <c r="AM361" s="23"/>
      <c r="AN361" s="23"/>
      <c r="AO361" s="23"/>
      <c r="AP361" s="23"/>
      <c r="AQ361" s="23"/>
      <c r="AR361" s="23"/>
      <c r="AS361" s="23"/>
    </row>
    <row r="362" spans="1:140" hidden="1" outlineLevel="1">
      <c r="B362" s="29"/>
      <c r="C362" s="25" t="str">
        <f>'Input - Option 2 Detailed Input'!D387</f>
        <v>Costs start in</v>
      </c>
      <c r="D362" s="25" t="str">
        <f>'Input - Option 2 Detailed Input'!E387</f>
        <v>Costs end in</v>
      </c>
      <c r="H362" s="35"/>
      <c r="I362" s="213"/>
    </row>
    <row r="363" spans="1:140" hidden="1" outlineLevel="1">
      <c r="B363" s="20" t="str">
        <f>'Input - Option 2 Detailed Input'!C388</f>
        <v>Costs occuring in Year</v>
      </c>
      <c r="C363" s="325">
        <f>'Input - Option 2 Detailed Input'!D388</f>
        <v>2025</v>
      </c>
      <c r="D363" s="325">
        <f>'Input - Option 2 Detailed Input'!E388</f>
        <v>2030</v>
      </c>
      <c r="E363" s="20" t="str">
        <f>'Input - Option 2 Detailed Input'!C391</f>
        <v>Frequency (by year)</v>
      </c>
      <c r="F363" s="241">
        <f>'Input - Option 2 Detailed Input'!F391</f>
        <v>1</v>
      </c>
      <c r="H363" s="35"/>
      <c r="I363" s="213"/>
    </row>
    <row r="364" spans="1:140" hidden="1" outlineLevel="1">
      <c r="B364" s="89" t="s">
        <v>335</v>
      </c>
      <c r="C364" s="30">
        <f>IF(C3=C4,'Input - Option 2 Detailed Input'!G391,0)</f>
        <v>0</v>
      </c>
      <c r="D364" s="48"/>
      <c r="H364" s="343">
        <f>SUM(J364:EJ364)</f>
        <v>0</v>
      </c>
      <c r="I364" s="211"/>
      <c r="J364" s="224">
        <f>-IF(AND(J$3&gt;=$C$363,J$3&lt;=$D$363,MOD(J$3-$C$363,$F$363)=0),($C$364*J$4),0)</f>
        <v>0</v>
      </c>
      <c r="K364" s="224">
        <f t="shared" ref="K364:AS364" si="113">-IF(AND(K$3&gt;=$C$363,K$3&lt;=$D$363,MOD(K$3-$C$363,$F$363)=0),($C$364*K$4),0)</f>
        <v>0</v>
      </c>
      <c r="L364" s="224">
        <f t="shared" si="113"/>
        <v>0</v>
      </c>
      <c r="M364" s="224">
        <f t="shared" si="113"/>
        <v>0</v>
      </c>
      <c r="N364" s="224">
        <f t="shared" si="113"/>
        <v>0</v>
      </c>
      <c r="O364" s="224">
        <f t="shared" si="113"/>
        <v>0</v>
      </c>
      <c r="P364" s="224">
        <f t="shared" si="113"/>
        <v>0</v>
      </c>
      <c r="Q364" s="224">
        <f t="shared" si="113"/>
        <v>0</v>
      </c>
      <c r="R364" s="224">
        <f t="shared" si="113"/>
        <v>0</v>
      </c>
      <c r="S364" s="224">
        <f t="shared" si="113"/>
        <v>0</v>
      </c>
      <c r="T364" s="224">
        <f t="shared" si="113"/>
        <v>0</v>
      </c>
      <c r="U364" s="224">
        <f t="shared" si="113"/>
        <v>0</v>
      </c>
      <c r="V364" s="224">
        <f t="shared" si="113"/>
        <v>0</v>
      </c>
      <c r="W364" s="224">
        <f t="shared" si="113"/>
        <v>0</v>
      </c>
      <c r="X364" s="224">
        <f t="shared" si="113"/>
        <v>0</v>
      </c>
      <c r="Y364" s="224">
        <f t="shared" si="113"/>
        <v>0</v>
      </c>
      <c r="Z364" s="224">
        <f t="shared" si="113"/>
        <v>0</v>
      </c>
      <c r="AA364" s="224">
        <f t="shared" si="113"/>
        <v>0</v>
      </c>
      <c r="AB364" s="224">
        <f t="shared" si="113"/>
        <v>0</v>
      </c>
      <c r="AC364" s="224">
        <f t="shared" si="113"/>
        <v>0</v>
      </c>
      <c r="AD364" s="224">
        <f t="shared" si="113"/>
        <v>0</v>
      </c>
      <c r="AE364" s="224">
        <f t="shared" si="113"/>
        <v>0</v>
      </c>
      <c r="AF364" s="224">
        <f t="shared" si="113"/>
        <v>0</v>
      </c>
      <c r="AG364" s="224">
        <f t="shared" si="113"/>
        <v>0</v>
      </c>
      <c r="AH364" s="224">
        <f t="shared" si="113"/>
        <v>0</v>
      </c>
      <c r="AI364" s="224">
        <f t="shared" si="113"/>
        <v>0</v>
      </c>
      <c r="AJ364" s="224">
        <f t="shared" si="113"/>
        <v>0</v>
      </c>
      <c r="AK364" s="224">
        <f t="shared" si="113"/>
        <v>0</v>
      </c>
      <c r="AL364" s="224">
        <f t="shared" si="113"/>
        <v>0</v>
      </c>
      <c r="AM364" s="224">
        <f t="shared" si="113"/>
        <v>0</v>
      </c>
      <c r="AN364" s="224">
        <f t="shared" si="113"/>
        <v>0</v>
      </c>
      <c r="AO364" s="224">
        <f t="shared" si="113"/>
        <v>0</v>
      </c>
      <c r="AP364" s="224">
        <f t="shared" si="113"/>
        <v>0</v>
      </c>
      <c r="AQ364" s="224">
        <f t="shared" si="113"/>
        <v>0</v>
      </c>
      <c r="AR364" s="224">
        <f t="shared" si="113"/>
        <v>0</v>
      </c>
      <c r="AS364" s="224">
        <f t="shared" si="113"/>
        <v>0</v>
      </c>
    </row>
    <row r="365" spans="1:140" hidden="1" outlineLevel="1">
      <c r="H365" s="35"/>
      <c r="I365" s="213"/>
    </row>
    <row r="366" spans="1:140" ht="14.45" hidden="1" customHeight="1" outlineLevel="1">
      <c r="A366" s="14"/>
      <c r="B366" s="90" t="s">
        <v>336</v>
      </c>
      <c r="C366" s="456" t="s">
        <v>337</v>
      </c>
      <c r="D366" s="457"/>
      <c r="E366" s="457"/>
      <c r="F366" s="457"/>
      <c r="G366" s="458"/>
      <c r="H366" s="352">
        <f>SUM(J366:EJ366)</f>
        <v>0</v>
      </c>
      <c r="I366" s="217"/>
      <c r="J366" s="55">
        <v>0</v>
      </c>
      <c r="K366" s="55">
        <v>0</v>
      </c>
      <c r="L366" s="55">
        <v>0</v>
      </c>
      <c r="M366" s="55">
        <v>0</v>
      </c>
      <c r="N366" s="55">
        <v>0</v>
      </c>
      <c r="O366" s="55">
        <v>0</v>
      </c>
      <c r="P366" s="55">
        <v>0</v>
      </c>
      <c r="Q366" s="55">
        <v>0</v>
      </c>
      <c r="R366" s="55">
        <v>0</v>
      </c>
      <c r="S366" s="55">
        <v>0</v>
      </c>
      <c r="T366" s="55">
        <v>0</v>
      </c>
      <c r="U366" s="55">
        <v>0</v>
      </c>
      <c r="V366" s="55">
        <v>0</v>
      </c>
      <c r="W366" s="55">
        <v>0</v>
      </c>
      <c r="X366" s="55">
        <v>0</v>
      </c>
      <c r="Y366" s="55">
        <v>0</v>
      </c>
      <c r="Z366" s="55">
        <v>0</v>
      </c>
      <c r="AA366" s="55">
        <v>0</v>
      </c>
      <c r="AB366" s="55">
        <v>0</v>
      </c>
      <c r="AC366" s="55">
        <v>0</v>
      </c>
      <c r="AD366" s="55">
        <v>0</v>
      </c>
      <c r="AE366" s="55">
        <v>0</v>
      </c>
      <c r="AF366" s="55">
        <v>0</v>
      </c>
      <c r="AG366" s="55">
        <v>0</v>
      </c>
      <c r="AH366" s="55">
        <v>0</v>
      </c>
      <c r="AI366" s="55">
        <v>0</v>
      </c>
      <c r="AJ366" s="55">
        <v>0</v>
      </c>
      <c r="AK366" s="55">
        <v>0</v>
      </c>
      <c r="AL366" s="55">
        <v>0</v>
      </c>
      <c r="AM366" s="55">
        <v>0</v>
      </c>
      <c r="AN366" s="55">
        <v>0</v>
      </c>
      <c r="AO366" s="55">
        <v>0</v>
      </c>
      <c r="AP366" s="55">
        <v>0</v>
      </c>
      <c r="AQ366" s="55">
        <v>0</v>
      </c>
      <c r="AR366" s="55">
        <v>0</v>
      </c>
      <c r="AS366" s="55">
        <v>0</v>
      </c>
    </row>
    <row r="367" spans="1:140" hidden="1" outlineLevel="1">
      <c r="H367" s="17"/>
      <c r="J367" s="23"/>
      <c r="K367" s="23"/>
      <c r="L367" s="23"/>
      <c r="M367" s="23"/>
      <c r="N367" s="23"/>
      <c r="O367" s="23"/>
      <c r="P367" s="23"/>
      <c r="Q367" s="23"/>
      <c r="R367" s="23"/>
      <c r="S367" s="23"/>
      <c r="T367" s="23"/>
      <c r="U367" s="23"/>
      <c r="V367" s="23"/>
      <c r="W367" s="23"/>
      <c r="X367" s="23"/>
      <c r="Y367" s="23"/>
      <c r="Z367" s="23"/>
      <c r="AA367" s="23"/>
      <c r="AB367" s="23"/>
      <c r="AC367" s="23"/>
      <c r="AD367" s="23"/>
      <c r="AE367" s="23"/>
      <c r="AF367" s="23"/>
      <c r="AG367" s="23"/>
      <c r="AH367" s="23"/>
      <c r="AI367" s="23"/>
      <c r="AJ367" s="23"/>
      <c r="AK367" s="23"/>
      <c r="AL367" s="23"/>
      <c r="AM367" s="23"/>
      <c r="AN367" s="23"/>
      <c r="AO367" s="23"/>
      <c r="AP367" s="23"/>
      <c r="AQ367" s="23"/>
      <c r="AR367" s="23"/>
      <c r="AS367" s="23"/>
    </row>
    <row r="368" spans="1:140" hidden="1" outlineLevel="1">
      <c r="H368" s="52"/>
      <c r="I368" s="211"/>
      <c r="J368" s="54"/>
      <c r="K368" s="54"/>
      <c r="L368" s="54"/>
      <c r="M368" s="54"/>
      <c r="N368" s="54"/>
      <c r="O368" s="54"/>
      <c r="P368" s="54"/>
      <c r="Q368" s="54"/>
      <c r="R368" s="54"/>
      <c r="S368" s="54"/>
      <c r="T368" s="54"/>
      <c r="U368" s="54"/>
      <c r="V368" s="54"/>
      <c r="W368" s="54"/>
      <c r="X368" s="54"/>
      <c r="Y368" s="54"/>
      <c r="Z368" s="54"/>
      <c r="AA368" s="54"/>
      <c r="AB368" s="54"/>
      <c r="AC368" s="54"/>
      <c r="AD368" s="54"/>
      <c r="AE368" s="54"/>
      <c r="AF368" s="54"/>
      <c r="AG368" s="54"/>
      <c r="AH368" s="54"/>
      <c r="AI368" s="54"/>
      <c r="AJ368" s="54"/>
      <c r="AK368" s="54"/>
      <c r="AL368" s="54"/>
      <c r="AM368" s="54"/>
      <c r="AN368" s="54"/>
      <c r="AO368" s="54"/>
      <c r="AP368" s="54"/>
      <c r="AQ368" s="54"/>
      <c r="AR368" s="54"/>
      <c r="AS368" s="54"/>
    </row>
    <row r="369" spans="1:140" hidden="1" outlineLevel="1">
      <c r="A369" s="15"/>
      <c r="B369" s="454" t="s">
        <v>338</v>
      </c>
      <c r="C369" s="454"/>
      <c r="D369" s="454"/>
      <c r="E369" s="454"/>
      <c r="F369" s="454"/>
      <c r="G369" s="455"/>
      <c r="H369" s="259">
        <f>SUM(H366,H364)</f>
        <v>0</v>
      </c>
      <c r="I369" s="215"/>
      <c r="J369" s="225">
        <f>SUM(J366,J364)</f>
        <v>0</v>
      </c>
      <c r="K369" s="225">
        <f t="shared" ref="K369:AS369" si="114">SUM(K366,K364)</f>
        <v>0</v>
      </c>
      <c r="L369" s="225">
        <f t="shared" si="114"/>
        <v>0</v>
      </c>
      <c r="M369" s="225">
        <f t="shared" si="114"/>
        <v>0</v>
      </c>
      <c r="N369" s="225">
        <f t="shared" si="114"/>
        <v>0</v>
      </c>
      <c r="O369" s="225">
        <f t="shared" si="114"/>
        <v>0</v>
      </c>
      <c r="P369" s="225">
        <f t="shared" si="114"/>
        <v>0</v>
      </c>
      <c r="Q369" s="225">
        <f t="shared" si="114"/>
        <v>0</v>
      </c>
      <c r="R369" s="225">
        <f t="shared" si="114"/>
        <v>0</v>
      </c>
      <c r="S369" s="225">
        <f t="shared" si="114"/>
        <v>0</v>
      </c>
      <c r="T369" s="225">
        <f t="shared" si="114"/>
        <v>0</v>
      </c>
      <c r="U369" s="225">
        <f t="shared" si="114"/>
        <v>0</v>
      </c>
      <c r="V369" s="225">
        <f t="shared" si="114"/>
        <v>0</v>
      </c>
      <c r="W369" s="225">
        <f t="shared" si="114"/>
        <v>0</v>
      </c>
      <c r="X369" s="225">
        <f t="shared" si="114"/>
        <v>0</v>
      </c>
      <c r="Y369" s="225">
        <f t="shared" si="114"/>
        <v>0</v>
      </c>
      <c r="Z369" s="225">
        <f t="shared" si="114"/>
        <v>0</v>
      </c>
      <c r="AA369" s="225">
        <f t="shared" si="114"/>
        <v>0</v>
      </c>
      <c r="AB369" s="225">
        <f t="shared" si="114"/>
        <v>0</v>
      </c>
      <c r="AC369" s="225">
        <f t="shared" si="114"/>
        <v>0</v>
      </c>
      <c r="AD369" s="225">
        <f t="shared" si="114"/>
        <v>0</v>
      </c>
      <c r="AE369" s="225">
        <f t="shared" si="114"/>
        <v>0</v>
      </c>
      <c r="AF369" s="225">
        <f t="shared" si="114"/>
        <v>0</v>
      </c>
      <c r="AG369" s="225">
        <f t="shared" si="114"/>
        <v>0</v>
      </c>
      <c r="AH369" s="225">
        <f t="shared" si="114"/>
        <v>0</v>
      </c>
      <c r="AI369" s="225">
        <f t="shared" si="114"/>
        <v>0</v>
      </c>
      <c r="AJ369" s="225">
        <f t="shared" si="114"/>
        <v>0</v>
      </c>
      <c r="AK369" s="225">
        <f t="shared" si="114"/>
        <v>0</v>
      </c>
      <c r="AL369" s="225">
        <f t="shared" si="114"/>
        <v>0</v>
      </c>
      <c r="AM369" s="225">
        <f t="shared" si="114"/>
        <v>0</v>
      </c>
      <c r="AN369" s="225">
        <f t="shared" si="114"/>
        <v>0</v>
      </c>
      <c r="AO369" s="225">
        <f t="shared" si="114"/>
        <v>0</v>
      </c>
      <c r="AP369" s="225">
        <f t="shared" si="114"/>
        <v>0</v>
      </c>
      <c r="AQ369" s="225">
        <f t="shared" si="114"/>
        <v>0</v>
      </c>
      <c r="AR369" s="225">
        <f t="shared" si="114"/>
        <v>0</v>
      </c>
      <c r="AS369" s="225">
        <f t="shared" si="114"/>
        <v>0</v>
      </c>
    </row>
    <row r="370" spans="1:140" hidden="1" outlineLevel="1">
      <c r="H370" s="17"/>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row>
    <row r="371" spans="1:140" collapsed="1">
      <c r="H371" s="17"/>
      <c r="J371" s="23"/>
      <c r="K371" s="23"/>
      <c r="L371" s="23"/>
      <c r="M371" s="23"/>
      <c r="N371" s="23"/>
      <c r="O371" s="23"/>
      <c r="P371" s="23"/>
      <c r="Q371" s="23"/>
      <c r="R371" s="23"/>
      <c r="S371" s="23"/>
      <c r="T371" s="23"/>
      <c r="U371" s="23"/>
      <c r="V371" s="23"/>
      <c r="W371" s="23"/>
      <c r="X371" s="23"/>
      <c r="Y371" s="23"/>
      <c r="Z371" s="23"/>
      <c r="AA371" s="23"/>
      <c r="AB371" s="23"/>
      <c r="AC371" s="23"/>
      <c r="AD371" s="23"/>
      <c r="AE371" s="23"/>
      <c r="AF371" s="23"/>
      <c r="AG371" s="23"/>
      <c r="AH371" s="23"/>
      <c r="AI371" s="23"/>
      <c r="AJ371" s="23"/>
      <c r="AK371" s="23"/>
      <c r="AL371" s="23"/>
      <c r="AM371" s="23"/>
      <c r="AN371" s="23"/>
      <c r="AO371" s="23"/>
      <c r="AP371" s="23"/>
      <c r="AQ371" s="23"/>
      <c r="AR371" s="23"/>
      <c r="AS371" s="23"/>
    </row>
    <row r="372" spans="1:140" s="294" customFormat="1" ht="23.45">
      <c r="A372" s="4"/>
      <c r="B372" s="295" t="s">
        <v>339</v>
      </c>
      <c r="C372" s="296"/>
      <c r="D372" s="296"/>
      <c r="E372" s="296"/>
      <c r="F372" s="296"/>
      <c r="G372" s="296"/>
      <c r="H372" s="297"/>
      <c r="I372" s="296"/>
      <c r="J372" s="298"/>
      <c r="K372" s="298"/>
      <c r="L372" s="298"/>
      <c r="M372" s="298"/>
      <c r="N372" s="298"/>
      <c r="O372" s="298"/>
      <c r="P372" s="298"/>
      <c r="Q372" s="298"/>
      <c r="R372" s="298"/>
      <c r="S372" s="298"/>
      <c r="T372" s="298"/>
      <c r="U372" s="298"/>
      <c r="V372" s="298"/>
      <c r="W372" s="298"/>
      <c r="X372" s="298"/>
      <c r="Y372" s="298"/>
      <c r="Z372" s="298"/>
      <c r="AA372" s="298"/>
      <c r="AB372" s="298"/>
      <c r="AC372" s="298"/>
      <c r="AD372" s="298"/>
      <c r="AE372" s="298"/>
      <c r="AF372" s="298"/>
      <c r="AG372" s="298"/>
      <c r="AH372" s="298"/>
      <c r="AI372" s="298"/>
      <c r="AJ372" s="298"/>
      <c r="AK372" s="298"/>
      <c r="AL372" s="298"/>
      <c r="AM372" s="298"/>
      <c r="AN372" s="298"/>
      <c r="AO372" s="298"/>
      <c r="AP372" s="298"/>
      <c r="AQ372" s="298"/>
      <c r="AR372" s="298"/>
      <c r="AS372" s="298"/>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c r="CK372"/>
      <c r="CL372"/>
      <c r="CM372"/>
      <c r="CN372"/>
      <c r="CO372"/>
      <c r="CP372"/>
      <c r="CQ372"/>
      <c r="CR372"/>
      <c r="CS372"/>
      <c r="CT372"/>
      <c r="CU372"/>
      <c r="CV372"/>
      <c r="CW372"/>
      <c r="CX372"/>
      <c r="CY372"/>
      <c r="CZ372"/>
      <c r="DA372"/>
      <c r="DB372"/>
      <c r="DC372"/>
      <c r="DD372"/>
      <c r="DE372"/>
      <c r="DF372"/>
      <c r="DG372"/>
      <c r="DH372"/>
      <c r="DI372"/>
      <c r="DJ372"/>
      <c r="DK372"/>
      <c r="DL372"/>
      <c r="DM372"/>
      <c r="DN372"/>
      <c r="DO372"/>
      <c r="DP372"/>
      <c r="DQ372"/>
      <c r="DR372"/>
      <c r="DS372"/>
      <c r="DT372"/>
      <c r="DU372"/>
      <c r="DV372"/>
      <c r="DW372"/>
      <c r="DX372"/>
      <c r="DY372"/>
      <c r="DZ372"/>
      <c r="EA372"/>
      <c r="EB372"/>
      <c r="EC372"/>
      <c r="ED372"/>
      <c r="EE372"/>
      <c r="EF372"/>
      <c r="EG372"/>
      <c r="EH372"/>
      <c r="EI372"/>
      <c r="EJ372"/>
    </row>
    <row r="373" spans="1:140" hidden="1" outlineLevel="1">
      <c r="H373" s="17"/>
      <c r="J373" s="23"/>
      <c r="K373" s="23"/>
      <c r="L373" s="23"/>
      <c r="M373" s="23"/>
      <c r="N373" s="23"/>
      <c r="O373" s="23"/>
      <c r="P373" s="23"/>
      <c r="Q373" s="23"/>
      <c r="R373" s="23"/>
      <c r="S373" s="23"/>
      <c r="T373" s="23"/>
      <c r="U373" s="23"/>
      <c r="V373" s="23"/>
      <c r="W373" s="23"/>
      <c r="X373" s="23"/>
      <c r="Y373" s="23"/>
      <c r="Z373" s="23"/>
      <c r="AA373" s="23"/>
      <c r="AB373" s="23"/>
      <c r="AC373" s="23"/>
      <c r="AD373" s="23"/>
      <c r="AE373" s="23"/>
      <c r="AF373" s="23"/>
      <c r="AG373" s="23"/>
      <c r="AH373" s="23"/>
      <c r="AI373" s="23"/>
      <c r="AJ373" s="23"/>
      <c r="AK373" s="23"/>
      <c r="AL373" s="23"/>
      <c r="AM373" s="23"/>
      <c r="AN373" s="23"/>
      <c r="AO373" s="23"/>
      <c r="AP373" s="23"/>
      <c r="AQ373" s="23"/>
      <c r="AR373" s="23"/>
      <c r="AS373" s="23"/>
    </row>
    <row r="374" spans="1:140" hidden="1" outlineLevel="1">
      <c r="B374" s="9" t="s">
        <v>340</v>
      </c>
      <c r="C374" s="326">
        <f>IF(C3=C4,'Summary Sheet'!C15,0)</f>
        <v>0</v>
      </c>
      <c r="D374" s="325" t="b">
        <f>IF(C3=C4,'Input - General and Overview'!C4-'Input - General and Overview'!C4)</f>
        <v>0</v>
      </c>
      <c r="E374" s="325">
        <f>J277</f>
        <v>0</v>
      </c>
      <c r="H374" s="343">
        <f>SUM(J374:EJ374)</f>
        <v>0</v>
      </c>
      <c r="J374" s="224">
        <f>-(IF(AND(J$2&gt;=$D374,J$2&lt;=$E374),$C374,0))</f>
        <v>0</v>
      </c>
      <c r="K374" s="224">
        <f t="shared" ref="K374:AS374" si="115">-(IF(AND(K$2&gt;=$D374,K$2&lt;=$E374),$C374,0))</f>
        <v>0</v>
      </c>
      <c r="L374" s="224">
        <f t="shared" si="115"/>
        <v>0</v>
      </c>
      <c r="M374" s="224">
        <f t="shared" si="115"/>
        <v>0</v>
      </c>
      <c r="N374" s="224">
        <f t="shared" si="115"/>
        <v>0</v>
      </c>
      <c r="O374" s="224">
        <f t="shared" si="115"/>
        <v>0</v>
      </c>
      <c r="P374" s="224">
        <f t="shared" si="115"/>
        <v>0</v>
      </c>
      <c r="Q374" s="224">
        <f t="shared" si="115"/>
        <v>0</v>
      </c>
      <c r="R374" s="224">
        <f t="shared" si="115"/>
        <v>0</v>
      </c>
      <c r="S374" s="224">
        <f t="shared" si="115"/>
        <v>0</v>
      </c>
      <c r="T374" s="224">
        <f t="shared" si="115"/>
        <v>0</v>
      </c>
      <c r="U374" s="224">
        <f t="shared" si="115"/>
        <v>0</v>
      </c>
      <c r="V374" s="224">
        <f t="shared" si="115"/>
        <v>0</v>
      </c>
      <c r="W374" s="224">
        <f t="shared" si="115"/>
        <v>0</v>
      </c>
      <c r="X374" s="224">
        <f t="shared" si="115"/>
        <v>0</v>
      </c>
      <c r="Y374" s="224">
        <f t="shared" si="115"/>
        <v>0</v>
      </c>
      <c r="Z374" s="224">
        <f t="shared" si="115"/>
        <v>0</v>
      </c>
      <c r="AA374" s="224">
        <f t="shared" si="115"/>
        <v>0</v>
      </c>
      <c r="AB374" s="224">
        <f t="shared" si="115"/>
        <v>0</v>
      </c>
      <c r="AC374" s="224">
        <f t="shared" si="115"/>
        <v>0</v>
      </c>
      <c r="AD374" s="224">
        <f t="shared" si="115"/>
        <v>0</v>
      </c>
      <c r="AE374" s="224">
        <f t="shared" si="115"/>
        <v>0</v>
      </c>
      <c r="AF374" s="224">
        <f t="shared" si="115"/>
        <v>0</v>
      </c>
      <c r="AG374" s="224">
        <f t="shared" si="115"/>
        <v>0</v>
      </c>
      <c r="AH374" s="224">
        <f t="shared" si="115"/>
        <v>0</v>
      </c>
      <c r="AI374" s="224">
        <f t="shared" si="115"/>
        <v>0</v>
      </c>
      <c r="AJ374" s="224">
        <f t="shared" si="115"/>
        <v>0</v>
      </c>
      <c r="AK374" s="224">
        <f t="shared" si="115"/>
        <v>0</v>
      </c>
      <c r="AL374" s="224">
        <f t="shared" si="115"/>
        <v>0</v>
      </c>
      <c r="AM374" s="224">
        <f t="shared" si="115"/>
        <v>0</v>
      </c>
      <c r="AN374" s="224">
        <f t="shared" si="115"/>
        <v>0</v>
      </c>
      <c r="AO374" s="224">
        <f t="shared" si="115"/>
        <v>0</v>
      </c>
      <c r="AP374" s="224">
        <f t="shared" si="115"/>
        <v>0</v>
      </c>
      <c r="AQ374" s="224">
        <f t="shared" si="115"/>
        <v>0</v>
      </c>
      <c r="AR374" s="224">
        <f t="shared" si="115"/>
        <v>0</v>
      </c>
      <c r="AS374" s="224">
        <f t="shared" si="115"/>
        <v>0</v>
      </c>
    </row>
    <row r="375" spans="1:140" hidden="1" outlineLevel="1">
      <c r="B375" s="9" t="s">
        <v>341</v>
      </c>
      <c r="C375" s="326">
        <f>IF(C3=C4,'Summary Sheet'!#REF!,0)</f>
        <v>0</v>
      </c>
      <c r="D375" s="322">
        <v>5</v>
      </c>
      <c r="H375" s="343">
        <f>SUM(J375:EJ375)</f>
        <v>0</v>
      </c>
      <c r="J375" s="224">
        <f>-(IF(AND(J$2=$D375),$C375,0))</f>
        <v>0</v>
      </c>
      <c r="K375" s="224">
        <f t="shared" ref="K375:AS375" si="116">-(IF(AND(K$2=$D375),$C375,0))</f>
        <v>0</v>
      </c>
      <c r="L375" s="224">
        <f t="shared" si="116"/>
        <v>0</v>
      </c>
      <c r="M375" s="224">
        <f t="shared" si="116"/>
        <v>0</v>
      </c>
      <c r="N375" s="224">
        <f t="shared" si="116"/>
        <v>0</v>
      </c>
      <c r="O375" s="224">
        <f t="shared" si="116"/>
        <v>0</v>
      </c>
      <c r="P375" s="224">
        <f t="shared" si="116"/>
        <v>0</v>
      </c>
      <c r="Q375" s="224">
        <f t="shared" si="116"/>
        <v>0</v>
      </c>
      <c r="R375" s="224">
        <f t="shared" si="116"/>
        <v>0</v>
      </c>
      <c r="S375" s="224">
        <f t="shared" si="116"/>
        <v>0</v>
      </c>
      <c r="T375" s="224">
        <f t="shared" si="116"/>
        <v>0</v>
      </c>
      <c r="U375" s="224">
        <f t="shared" si="116"/>
        <v>0</v>
      </c>
      <c r="V375" s="224">
        <f t="shared" si="116"/>
        <v>0</v>
      </c>
      <c r="W375" s="224">
        <f t="shared" si="116"/>
        <v>0</v>
      </c>
      <c r="X375" s="224">
        <f t="shared" si="116"/>
        <v>0</v>
      </c>
      <c r="Y375" s="224">
        <f t="shared" si="116"/>
        <v>0</v>
      </c>
      <c r="Z375" s="224">
        <f t="shared" si="116"/>
        <v>0</v>
      </c>
      <c r="AA375" s="224">
        <f t="shared" si="116"/>
        <v>0</v>
      </c>
      <c r="AB375" s="224">
        <f t="shared" si="116"/>
        <v>0</v>
      </c>
      <c r="AC375" s="224">
        <f t="shared" si="116"/>
        <v>0</v>
      </c>
      <c r="AD375" s="224">
        <f t="shared" si="116"/>
        <v>0</v>
      </c>
      <c r="AE375" s="224">
        <f t="shared" si="116"/>
        <v>0</v>
      </c>
      <c r="AF375" s="224">
        <f t="shared" si="116"/>
        <v>0</v>
      </c>
      <c r="AG375" s="224">
        <f t="shared" si="116"/>
        <v>0</v>
      </c>
      <c r="AH375" s="224">
        <f t="shared" si="116"/>
        <v>0</v>
      </c>
      <c r="AI375" s="224">
        <f t="shared" si="116"/>
        <v>0</v>
      </c>
      <c r="AJ375" s="224">
        <f t="shared" si="116"/>
        <v>0</v>
      </c>
      <c r="AK375" s="224">
        <f t="shared" si="116"/>
        <v>0</v>
      </c>
      <c r="AL375" s="224">
        <f t="shared" si="116"/>
        <v>0</v>
      </c>
      <c r="AM375" s="224">
        <f t="shared" si="116"/>
        <v>0</v>
      </c>
      <c r="AN375" s="224">
        <f t="shared" si="116"/>
        <v>0</v>
      </c>
      <c r="AO375" s="224">
        <f t="shared" si="116"/>
        <v>0</v>
      </c>
      <c r="AP375" s="224">
        <f t="shared" si="116"/>
        <v>0</v>
      </c>
      <c r="AQ375" s="224">
        <f t="shared" si="116"/>
        <v>0</v>
      </c>
      <c r="AR375" s="224">
        <f t="shared" si="116"/>
        <v>0</v>
      </c>
      <c r="AS375" s="224">
        <f t="shared" si="116"/>
        <v>0</v>
      </c>
    </row>
    <row r="376" spans="1:140" hidden="1" outlineLevel="1">
      <c r="H376" s="17"/>
      <c r="J376" s="23"/>
      <c r="K376" s="23"/>
      <c r="L376" s="23"/>
      <c r="M376" s="23"/>
      <c r="N376" s="23"/>
      <c r="O376" s="23"/>
      <c r="P376" s="23"/>
      <c r="Q376" s="23"/>
      <c r="R376" s="23"/>
      <c r="S376" s="23"/>
      <c r="T376" s="23"/>
      <c r="U376" s="23"/>
      <c r="V376" s="23"/>
      <c r="W376" s="23"/>
      <c r="X376" s="23"/>
      <c r="Y376" s="23"/>
      <c r="Z376" s="23"/>
      <c r="AA376" s="23"/>
      <c r="AB376" s="23"/>
      <c r="AC376" s="23"/>
      <c r="AD376" s="23"/>
      <c r="AE376" s="23"/>
      <c r="AF376" s="23"/>
      <c r="AG376" s="23"/>
      <c r="AH376" s="23"/>
      <c r="AI376" s="23"/>
      <c r="AJ376" s="23"/>
      <c r="AK376" s="23"/>
      <c r="AL376" s="23"/>
      <c r="AM376" s="23"/>
      <c r="AN376" s="23"/>
      <c r="AO376" s="23"/>
      <c r="AP376" s="23"/>
      <c r="AQ376" s="23"/>
      <c r="AR376" s="23"/>
      <c r="AS376" s="23"/>
    </row>
    <row r="377" spans="1:140" hidden="1" outlineLevel="1">
      <c r="A377" s="15"/>
      <c r="B377" s="454" t="s">
        <v>342</v>
      </c>
      <c r="C377" s="454"/>
      <c r="D377" s="454"/>
      <c r="E377" s="454"/>
      <c r="F377" s="454"/>
      <c r="G377" s="455"/>
      <c r="H377" s="259">
        <f>SUM(H374:H375)</f>
        <v>0</v>
      </c>
      <c r="I377" s="210"/>
      <c r="J377" s="225">
        <f>SUM(J374:J375)</f>
        <v>0</v>
      </c>
      <c r="K377" s="225">
        <f t="shared" ref="K377:AS377" si="117">SUM(K374:K375)</f>
        <v>0</v>
      </c>
      <c r="L377" s="225">
        <f t="shared" si="117"/>
        <v>0</v>
      </c>
      <c r="M377" s="225">
        <f t="shared" si="117"/>
        <v>0</v>
      </c>
      <c r="N377" s="225">
        <f t="shared" si="117"/>
        <v>0</v>
      </c>
      <c r="O377" s="225">
        <f t="shared" si="117"/>
        <v>0</v>
      </c>
      <c r="P377" s="225">
        <f t="shared" si="117"/>
        <v>0</v>
      </c>
      <c r="Q377" s="225">
        <f t="shared" si="117"/>
        <v>0</v>
      </c>
      <c r="R377" s="225">
        <f t="shared" si="117"/>
        <v>0</v>
      </c>
      <c r="S377" s="225">
        <f t="shared" si="117"/>
        <v>0</v>
      </c>
      <c r="T377" s="225">
        <f t="shared" si="117"/>
        <v>0</v>
      </c>
      <c r="U377" s="225">
        <f t="shared" si="117"/>
        <v>0</v>
      </c>
      <c r="V377" s="225">
        <f t="shared" si="117"/>
        <v>0</v>
      </c>
      <c r="W377" s="225">
        <f t="shared" si="117"/>
        <v>0</v>
      </c>
      <c r="X377" s="225">
        <f t="shared" si="117"/>
        <v>0</v>
      </c>
      <c r="Y377" s="225">
        <f t="shared" si="117"/>
        <v>0</v>
      </c>
      <c r="Z377" s="225">
        <f t="shared" si="117"/>
        <v>0</v>
      </c>
      <c r="AA377" s="225">
        <f t="shared" si="117"/>
        <v>0</v>
      </c>
      <c r="AB377" s="225">
        <f t="shared" si="117"/>
        <v>0</v>
      </c>
      <c r="AC377" s="225">
        <f t="shared" si="117"/>
        <v>0</v>
      </c>
      <c r="AD377" s="225">
        <f t="shared" si="117"/>
        <v>0</v>
      </c>
      <c r="AE377" s="225">
        <f t="shared" si="117"/>
        <v>0</v>
      </c>
      <c r="AF377" s="225">
        <f t="shared" si="117"/>
        <v>0</v>
      </c>
      <c r="AG377" s="225">
        <f t="shared" si="117"/>
        <v>0</v>
      </c>
      <c r="AH377" s="225">
        <f t="shared" si="117"/>
        <v>0</v>
      </c>
      <c r="AI377" s="225">
        <f t="shared" si="117"/>
        <v>0</v>
      </c>
      <c r="AJ377" s="225">
        <f t="shared" si="117"/>
        <v>0</v>
      </c>
      <c r="AK377" s="225">
        <f t="shared" si="117"/>
        <v>0</v>
      </c>
      <c r="AL377" s="225">
        <f t="shared" si="117"/>
        <v>0</v>
      </c>
      <c r="AM377" s="225">
        <f t="shared" si="117"/>
        <v>0</v>
      </c>
      <c r="AN377" s="225">
        <f t="shared" si="117"/>
        <v>0</v>
      </c>
      <c r="AO377" s="225">
        <f t="shared" si="117"/>
        <v>0</v>
      </c>
      <c r="AP377" s="225">
        <f t="shared" si="117"/>
        <v>0</v>
      </c>
      <c r="AQ377" s="225">
        <f t="shared" si="117"/>
        <v>0</v>
      </c>
      <c r="AR377" s="225">
        <f t="shared" si="117"/>
        <v>0</v>
      </c>
      <c r="AS377" s="225">
        <f t="shared" si="117"/>
        <v>0</v>
      </c>
    </row>
    <row r="378" spans="1:140" collapsed="1">
      <c r="H378" s="17"/>
      <c r="J378" s="23"/>
      <c r="K378" s="23"/>
      <c r="L378" s="23"/>
      <c r="M378" s="23"/>
      <c r="N378" s="23"/>
      <c r="O378" s="23"/>
      <c r="P378" s="23"/>
      <c r="Q378" s="23"/>
      <c r="R378" s="23"/>
      <c r="S378" s="23"/>
      <c r="T378" s="23"/>
      <c r="U378" s="23"/>
      <c r="V378" s="23"/>
      <c r="W378" s="23"/>
      <c r="X378" s="23"/>
      <c r="Y378" s="23"/>
      <c r="Z378" s="23"/>
      <c r="AA378" s="23"/>
      <c r="AB378" s="23"/>
      <c r="AC378" s="23"/>
      <c r="AD378" s="23"/>
      <c r="AE378" s="23"/>
      <c r="AF378" s="23"/>
      <c r="AG378" s="23"/>
      <c r="AH378" s="23"/>
      <c r="AI378" s="23"/>
      <c r="AJ378" s="23"/>
      <c r="AK378" s="23"/>
      <c r="AL378" s="23"/>
      <c r="AM378" s="23"/>
      <c r="AN378" s="23"/>
      <c r="AO378" s="23"/>
      <c r="AP378" s="23"/>
      <c r="AQ378" s="23"/>
      <c r="AR378" s="23"/>
      <c r="AS378" s="23"/>
    </row>
    <row r="379" spans="1:140">
      <c r="A379" s="15"/>
      <c r="B379" s="454" t="s">
        <v>343</v>
      </c>
      <c r="C379" s="454"/>
      <c r="D379" s="454"/>
      <c r="E379" s="454"/>
      <c r="F379" s="454"/>
      <c r="G379" s="455"/>
      <c r="H379" s="259">
        <f>SUM(H369,H348,H117,H53,H41,H358,H377)</f>
        <v>0</v>
      </c>
      <c r="I379" s="210"/>
      <c r="J379" s="225">
        <f>SUM(J369,J348,J117,J358,J53,J41,J377)</f>
        <v>0</v>
      </c>
      <c r="K379" s="225">
        <f t="shared" ref="K379:AS379" si="118">SUM(K369,K348,K117,K358,K53,K41,K377)</f>
        <v>0</v>
      </c>
      <c r="L379" s="225">
        <f t="shared" si="118"/>
        <v>0</v>
      </c>
      <c r="M379" s="225">
        <f t="shared" si="118"/>
        <v>0</v>
      </c>
      <c r="N379" s="225">
        <f t="shared" si="118"/>
        <v>0</v>
      </c>
      <c r="O379" s="225">
        <f t="shared" si="118"/>
        <v>0</v>
      </c>
      <c r="P379" s="225">
        <f t="shared" si="118"/>
        <v>0</v>
      </c>
      <c r="Q379" s="225">
        <f t="shared" si="118"/>
        <v>0</v>
      </c>
      <c r="R379" s="225">
        <f t="shared" si="118"/>
        <v>0</v>
      </c>
      <c r="S379" s="225">
        <f t="shared" si="118"/>
        <v>0</v>
      </c>
      <c r="T379" s="225">
        <f t="shared" si="118"/>
        <v>0</v>
      </c>
      <c r="U379" s="225">
        <f t="shared" si="118"/>
        <v>0</v>
      </c>
      <c r="V379" s="225">
        <f t="shared" si="118"/>
        <v>0</v>
      </c>
      <c r="W379" s="225">
        <f t="shared" si="118"/>
        <v>0</v>
      </c>
      <c r="X379" s="225">
        <f t="shared" si="118"/>
        <v>0</v>
      </c>
      <c r="Y379" s="225">
        <f t="shared" si="118"/>
        <v>0</v>
      </c>
      <c r="Z379" s="225">
        <f t="shared" si="118"/>
        <v>0</v>
      </c>
      <c r="AA379" s="225">
        <f t="shared" si="118"/>
        <v>0</v>
      </c>
      <c r="AB379" s="225">
        <f t="shared" si="118"/>
        <v>0</v>
      </c>
      <c r="AC379" s="225">
        <f t="shared" si="118"/>
        <v>0</v>
      </c>
      <c r="AD379" s="225">
        <f t="shared" si="118"/>
        <v>0</v>
      </c>
      <c r="AE379" s="225">
        <f t="shared" si="118"/>
        <v>0</v>
      </c>
      <c r="AF379" s="225">
        <f t="shared" si="118"/>
        <v>0</v>
      </c>
      <c r="AG379" s="225">
        <f t="shared" si="118"/>
        <v>0</v>
      </c>
      <c r="AH379" s="225">
        <f t="shared" si="118"/>
        <v>0</v>
      </c>
      <c r="AI379" s="225">
        <f t="shared" si="118"/>
        <v>0</v>
      </c>
      <c r="AJ379" s="225">
        <f t="shared" si="118"/>
        <v>0</v>
      </c>
      <c r="AK379" s="225">
        <f t="shared" si="118"/>
        <v>0</v>
      </c>
      <c r="AL379" s="225">
        <f t="shared" si="118"/>
        <v>0</v>
      </c>
      <c r="AM379" s="225">
        <f t="shared" si="118"/>
        <v>0</v>
      </c>
      <c r="AN379" s="225">
        <f t="shared" si="118"/>
        <v>0</v>
      </c>
      <c r="AO379" s="225">
        <f t="shared" si="118"/>
        <v>0</v>
      </c>
      <c r="AP379" s="225">
        <f t="shared" si="118"/>
        <v>0</v>
      </c>
      <c r="AQ379" s="225">
        <f t="shared" si="118"/>
        <v>0</v>
      </c>
      <c r="AR379" s="225">
        <f t="shared" si="118"/>
        <v>0</v>
      </c>
      <c r="AS379" s="225">
        <f t="shared" si="118"/>
        <v>0</v>
      </c>
    </row>
  </sheetData>
  <mergeCells count="14">
    <mergeCell ref="B53:G53"/>
    <mergeCell ref="C366:G366"/>
    <mergeCell ref="A84:A86"/>
    <mergeCell ref="A87:A95"/>
    <mergeCell ref="A13:A18"/>
    <mergeCell ref="A19:A22"/>
    <mergeCell ref="A23:A27"/>
    <mergeCell ref="B41:G41"/>
    <mergeCell ref="B379:G379"/>
    <mergeCell ref="B369:G369"/>
    <mergeCell ref="B358:G358"/>
    <mergeCell ref="B348:G348"/>
    <mergeCell ref="B117:G117"/>
    <mergeCell ref="B377:G377"/>
  </mergeCells>
  <phoneticPr fontId="14"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93873-6B34-4F99-A2BA-5B6C22257B57}">
  <sheetPr>
    <tabColor theme="5" tint="0.39997558519241921"/>
  </sheetPr>
  <dimension ref="A1:EK414"/>
  <sheetViews>
    <sheetView showGridLines="0" zoomScale="80" zoomScaleNormal="80" workbookViewId="0">
      <pane xSplit="7" ySplit="7" topLeftCell="H8" activePane="bottomRight" state="frozen"/>
      <selection pane="bottomRight"/>
      <selection pane="bottomLeft" activeCell="A8" sqref="A8"/>
      <selection pane="topRight" activeCell="H1" sqref="H1"/>
    </sheetView>
  </sheetViews>
  <sheetFormatPr defaultColWidth="0" defaultRowHeight="14.45" outlineLevelRow="1"/>
  <cols>
    <col min="1" max="1" width="8.7109375" customWidth="1"/>
    <col min="2" max="2" width="36.5703125" customWidth="1"/>
    <col min="3" max="3" width="23.85546875" customWidth="1"/>
    <col min="4" max="4" width="18.85546875" customWidth="1"/>
    <col min="5" max="5" width="22.140625" bestFit="1" customWidth="1"/>
    <col min="6" max="6" width="16.42578125" bestFit="1" customWidth="1"/>
    <col min="7" max="7" width="10.7109375" bestFit="1" customWidth="1"/>
    <col min="8" max="8" width="16.42578125" bestFit="1" customWidth="1"/>
    <col min="9" max="9" width="2.85546875" customWidth="1"/>
    <col min="10" max="10" width="13.85546875" bestFit="1" customWidth="1"/>
    <col min="11" max="11" width="11.7109375" bestFit="1" customWidth="1"/>
    <col min="12" max="30" width="10.140625" bestFit="1" customWidth="1"/>
    <col min="31" max="45" width="11.7109375" bestFit="1" customWidth="1"/>
    <col min="46" max="141" width="0" hidden="1" customWidth="1"/>
    <col min="142" max="16384" width="8.7109375" hidden="1"/>
  </cols>
  <sheetData>
    <row r="1" spans="1:45" ht="25.5" thickBot="1">
      <c r="A1" s="67" t="s">
        <v>344</v>
      </c>
      <c r="B1" s="67"/>
      <c r="C1" s="62"/>
      <c r="D1" s="62"/>
      <c r="E1" s="62"/>
      <c r="F1" s="62"/>
      <c r="G1" s="62"/>
      <c r="H1" s="173"/>
      <c r="I1" s="173"/>
      <c r="J1" s="62"/>
      <c r="K1" s="62"/>
      <c r="L1" s="62"/>
      <c r="M1" s="62"/>
      <c r="N1" s="62"/>
      <c r="O1" s="62"/>
      <c r="P1" s="62"/>
      <c r="Q1" s="62"/>
      <c r="R1" s="62"/>
      <c r="S1" s="62"/>
      <c r="T1" s="62"/>
      <c r="U1" s="62"/>
      <c r="V1" s="62"/>
      <c r="W1" s="62"/>
      <c r="X1" s="62"/>
      <c r="Y1" s="62"/>
      <c r="Z1" s="62"/>
      <c r="AA1" s="106"/>
      <c r="AB1" s="106"/>
      <c r="AC1" s="106"/>
      <c r="AD1" s="106"/>
      <c r="AE1" s="106"/>
      <c r="AF1" s="106"/>
      <c r="AG1" s="106"/>
      <c r="AH1" s="106"/>
      <c r="AI1" s="106"/>
      <c r="AJ1" s="106"/>
      <c r="AK1" s="106"/>
      <c r="AL1" s="106"/>
      <c r="AM1" s="106"/>
      <c r="AN1" s="106"/>
      <c r="AO1" s="106"/>
      <c r="AP1" s="106"/>
      <c r="AQ1" s="106"/>
      <c r="AR1" s="106"/>
      <c r="AS1" s="106"/>
    </row>
    <row r="2" spans="1:45">
      <c r="A2" s="4" t="s">
        <v>296</v>
      </c>
      <c r="B2" s="4"/>
      <c r="C2" s="4"/>
      <c r="D2" s="8"/>
      <c r="E2" s="4"/>
      <c r="F2" s="4"/>
      <c r="G2" s="4"/>
      <c r="H2" s="229" t="s">
        <v>23</v>
      </c>
      <c r="I2" s="45"/>
      <c r="J2" s="43">
        <v>0</v>
      </c>
      <c r="K2" s="43">
        <f t="shared" ref="K2:AS2" si="0">J2+1</f>
        <v>1</v>
      </c>
      <c r="L2" s="43">
        <f t="shared" si="0"/>
        <v>2</v>
      </c>
      <c r="M2" s="43">
        <f t="shared" si="0"/>
        <v>3</v>
      </c>
      <c r="N2" s="43">
        <f t="shared" si="0"/>
        <v>4</v>
      </c>
      <c r="O2" s="43">
        <f t="shared" si="0"/>
        <v>5</v>
      </c>
      <c r="P2" s="43">
        <f t="shared" si="0"/>
        <v>6</v>
      </c>
      <c r="Q2" s="43">
        <f t="shared" si="0"/>
        <v>7</v>
      </c>
      <c r="R2" s="43">
        <f t="shared" si="0"/>
        <v>8</v>
      </c>
      <c r="S2" s="43">
        <f t="shared" si="0"/>
        <v>9</v>
      </c>
      <c r="T2" s="43">
        <f t="shared" si="0"/>
        <v>10</v>
      </c>
      <c r="U2" s="43">
        <f t="shared" si="0"/>
        <v>11</v>
      </c>
      <c r="V2" s="43">
        <f t="shared" si="0"/>
        <v>12</v>
      </c>
      <c r="W2" s="43">
        <f t="shared" si="0"/>
        <v>13</v>
      </c>
      <c r="X2" s="43">
        <f t="shared" si="0"/>
        <v>14</v>
      </c>
      <c r="Y2" s="43">
        <f t="shared" si="0"/>
        <v>15</v>
      </c>
      <c r="Z2" s="43">
        <f t="shared" si="0"/>
        <v>16</v>
      </c>
      <c r="AA2" s="43">
        <f t="shared" si="0"/>
        <v>17</v>
      </c>
      <c r="AB2" s="43">
        <f t="shared" si="0"/>
        <v>18</v>
      </c>
      <c r="AC2" s="43">
        <f t="shared" si="0"/>
        <v>19</v>
      </c>
      <c r="AD2" s="43">
        <f t="shared" si="0"/>
        <v>20</v>
      </c>
      <c r="AE2" s="43">
        <f t="shared" si="0"/>
        <v>21</v>
      </c>
      <c r="AF2" s="43">
        <f t="shared" si="0"/>
        <v>22</v>
      </c>
      <c r="AG2" s="43">
        <f t="shared" si="0"/>
        <v>23</v>
      </c>
      <c r="AH2" s="43">
        <f t="shared" si="0"/>
        <v>24</v>
      </c>
      <c r="AI2" s="43">
        <f t="shared" si="0"/>
        <v>25</v>
      </c>
      <c r="AJ2" s="43">
        <f t="shared" si="0"/>
        <v>26</v>
      </c>
      <c r="AK2" s="43">
        <f t="shared" si="0"/>
        <v>27</v>
      </c>
      <c r="AL2" s="43">
        <f t="shared" si="0"/>
        <v>28</v>
      </c>
      <c r="AM2" s="43">
        <f t="shared" si="0"/>
        <v>29</v>
      </c>
      <c r="AN2" s="43">
        <f t="shared" si="0"/>
        <v>30</v>
      </c>
      <c r="AO2" s="43">
        <f t="shared" si="0"/>
        <v>31</v>
      </c>
      <c r="AP2" s="43">
        <f t="shared" si="0"/>
        <v>32</v>
      </c>
      <c r="AQ2" s="43">
        <f t="shared" si="0"/>
        <v>33</v>
      </c>
      <c r="AR2" s="43">
        <f t="shared" si="0"/>
        <v>34</v>
      </c>
      <c r="AS2" s="43">
        <f t="shared" si="0"/>
        <v>35</v>
      </c>
    </row>
    <row r="3" spans="1:45">
      <c r="A3" s="4"/>
      <c r="B3" s="9" t="s">
        <v>297</v>
      </c>
      <c r="C3" s="241" t="str">
        <f>'Input - General and Overview'!C12</f>
        <v>Option 1</v>
      </c>
      <c r="D3" s="8"/>
      <c r="E3" s="4"/>
      <c r="F3" s="4" t="s">
        <v>298</v>
      </c>
      <c r="G3" s="45">
        <f>'Input - General and Overview'!C5-'Input - General and Overview'!C4</f>
        <v>30</v>
      </c>
      <c r="H3" s="32">
        <f>'Input - General and Overview'!C7</f>
        <v>2.5000000000000001E-2</v>
      </c>
      <c r="I3" s="4"/>
      <c r="J3" s="4">
        <f>'Input - General and Overview'!C4</f>
        <v>2025</v>
      </c>
      <c r="K3" s="46">
        <f>IF(K2&lt;=$G$3,J3+1,0)</f>
        <v>2026</v>
      </c>
      <c r="L3" s="46">
        <f t="shared" ref="L3:AS3" si="1">IF(L2&lt;=$G$3,K3+1,0)</f>
        <v>2027</v>
      </c>
      <c r="M3" s="46">
        <f t="shared" si="1"/>
        <v>2028</v>
      </c>
      <c r="N3" s="46">
        <f t="shared" si="1"/>
        <v>2029</v>
      </c>
      <c r="O3" s="46">
        <f t="shared" si="1"/>
        <v>2030</v>
      </c>
      <c r="P3" s="46">
        <f t="shared" si="1"/>
        <v>2031</v>
      </c>
      <c r="Q3" s="46">
        <f t="shared" si="1"/>
        <v>2032</v>
      </c>
      <c r="R3" s="46">
        <f t="shared" si="1"/>
        <v>2033</v>
      </c>
      <c r="S3" s="46">
        <f t="shared" si="1"/>
        <v>2034</v>
      </c>
      <c r="T3" s="46">
        <f t="shared" si="1"/>
        <v>2035</v>
      </c>
      <c r="U3" s="46">
        <f t="shared" si="1"/>
        <v>2036</v>
      </c>
      <c r="V3" s="46">
        <f t="shared" si="1"/>
        <v>2037</v>
      </c>
      <c r="W3" s="46">
        <f t="shared" si="1"/>
        <v>2038</v>
      </c>
      <c r="X3" s="46">
        <f t="shared" si="1"/>
        <v>2039</v>
      </c>
      <c r="Y3" s="46">
        <f t="shared" si="1"/>
        <v>2040</v>
      </c>
      <c r="Z3" s="46">
        <f t="shared" si="1"/>
        <v>2041</v>
      </c>
      <c r="AA3" s="46">
        <f t="shared" si="1"/>
        <v>2042</v>
      </c>
      <c r="AB3" s="46">
        <f t="shared" si="1"/>
        <v>2043</v>
      </c>
      <c r="AC3" s="46">
        <f t="shared" si="1"/>
        <v>2044</v>
      </c>
      <c r="AD3" s="46">
        <f t="shared" si="1"/>
        <v>2045</v>
      </c>
      <c r="AE3" s="46">
        <f t="shared" si="1"/>
        <v>2046</v>
      </c>
      <c r="AF3" s="46">
        <f t="shared" si="1"/>
        <v>2047</v>
      </c>
      <c r="AG3" s="46">
        <f t="shared" si="1"/>
        <v>2048</v>
      </c>
      <c r="AH3" s="46">
        <f t="shared" si="1"/>
        <v>2049</v>
      </c>
      <c r="AI3" s="46">
        <f t="shared" si="1"/>
        <v>2050</v>
      </c>
      <c r="AJ3" s="46">
        <f t="shared" si="1"/>
        <v>2051</v>
      </c>
      <c r="AK3" s="46">
        <f t="shared" si="1"/>
        <v>2052</v>
      </c>
      <c r="AL3" s="46">
        <f t="shared" si="1"/>
        <v>2053</v>
      </c>
      <c r="AM3" s="46">
        <f t="shared" si="1"/>
        <v>2054</v>
      </c>
      <c r="AN3" s="46">
        <f t="shared" si="1"/>
        <v>2055</v>
      </c>
      <c r="AO3" s="46">
        <f t="shared" si="1"/>
        <v>0</v>
      </c>
      <c r="AP3" s="46">
        <f t="shared" si="1"/>
        <v>0</v>
      </c>
      <c r="AQ3" s="46">
        <f t="shared" si="1"/>
        <v>0</v>
      </c>
      <c r="AR3" s="46">
        <f t="shared" si="1"/>
        <v>0</v>
      </c>
      <c r="AS3" s="46">
        <f t="shared" si="1"/>
        <v>0</v>
      </c>
    </row>
    <row r="4" spans="1:45">
      <c r="B4" s="9" t="s">
        <v>299</v>
      </c>
      <c r="C4" s="241" t="s">
        <v>61</v>
      </c>
      <c r="H4" s="17"/>
      <c r="J4" s="50">
        <v>1</v>
      </c>
      <c r="K4" s="50">
        <f>IF(('Input - General and Overview'!$C$6)="Yes",J4*(1+'Input - General and Overview'!$C$7),J4)</f>
        <v>1.0249999999999999</v>
      </c>
      <c r="L4" s="50">
        <f>IF(('Input - General and Overview'!$C$6)="Yes",K4*(1+'Input - General and Overview'!$C$7),K4)</f>
        <v>1.0506249999999999</v>
      </c>
      <c r="M4" s="50">
        <f>IF(('Input - General and Overview'!$C$6)="Yes",L4*(1+'Input - General and Overview'!$C$7),L4)</f>
        <v>1.0768906249999999</v>
      </c>
      <c r="N4" s="50">
        <f>IF(('Input - General and Overview'!$C$6)="Yes",M4*(1+'Input - General and Overview'!$C$7),M4)</f>
        <v>1.1038128906249998</v>
      </c>
      <c r="O4" s="50">
        <f>IF(('Input - General and Overview'!$C$6)="Yes",N4*(1+'Input - General and Overview'!$C$7),N4)</f>
        <v>1.1314082128906247</v>
      </c>
      <c r="P4" s="50">
        <f>IF(('Input - General and Overview'!$C$6)="Yes",O4*(1+'Input - General and Overview'!$C$7),O4)</f>
        <v>1.1596934182128902</v>
      </c>
      <c r="Q4" s="50">
        <f>IF(('Input - General and Overview'!$C$6)="Yes",P4*(1+'Input - General and Overview'!$C$7),P4)</f>
        <v>1.1886857536682123</v>
      </c>
      <c r="R4" s="50">
        <f>IF(('Input - General and Overview'!$C$6)="Yes",Q4*(1+'Input - General and Overview'!$C$7),Q4)</f>
        <v>1.2184028975099175</v>
      </c>
      <c r="S4" s="50">
        <f>IF(('Input - General and Overview'!$C$6)="Yes",R4*(1+'Input - General and Overview'!$C$7),R4)</f>
        <v>1.2488629699476652</v>
      </c>
      <c r="T4" s="50">
        <f>IF(('Input - General and Overview'!$C$6)="Yes",S4*(1+'Input - General and Overview'!$C$7),S4)</f>
        <v>1.2800845441963566</v>
      </c>
      <c r="U4" s="50">
        <f>IF(('Input - General and Overview'!$C$6)="Yes",T4*(1+'Input - General and Overview'!$C$7),T4)</f>
        <v>1.3120866578012655</v>
      </c>
      <c r="V4" s="50">
        <f>IF(('Input - General and Overview'!$C$6)="Yes",U4*(1+'Input - General and Overview'!$C$7),U4)</f>
        <v>1.3448888242462971</v>
      </c>
      <c r="W4" s="50">
        <f>IF(('Input - General and Overview'!$C$6)="Yes",V4*(1+'Input - General and Overview'!$C$7),V4)</f>
        <v>1.3785110448524545</v>
      </c>
      <c r="X4" s="50">
        <f>IF(('Input - General and Overview'!$C$6)="Yes",W4*(1+'Input - General and Overview'!$C$7),W4)</f>
        <v>1.4129738209737657</v>
      </c>
      <c r="Y4" s="50">
        <f>IF(('Input - General and Overview'!$C$6)="Yes",X4*(1+'Input - General and Overview'!$C$7),X4)</f>
        <v>1.4482981664981096</v>
      </c>
      <c r="Z4" s="50">
        <f>IF(('Input - General and Overview'!$C$6)="Yes",Y4*(1+'Input - General and Overview'!$C$7),Y4)</f>
        <v>1.4845056206605622</v>
      </c>
      <c r="AA4" s="50">
        <f>IF(('Input - General and Overview'!$C$6)="Yes",Z4*(1+'Input - General and Overview'!$C$7),Z4)</f>
        <v>1.5216182611770761</v>
      </c>
      <c r="AB4" s="50">
        <f>IF(('Input - General and Overview'!$C$6)="Yes",AA4*(1+'Input - General and Overview'!$C$7),AA4)</f>
        <v>1.5596587177065029</v>
      </c>
      <c r="AC4" s="50">
        <f>IF(('Input - General and Overview'!$C$6)="Yes",AB4*(1+'Input - General and Overview'!$C$7),AB4)</f>
        <v>1.5986501856491653</v>
      </c>
      <c r="AD4" s="50">
        <f>IF(('Input - General and Overview'!$C$6)="Yes",AC4*(1+'Input - General and Overview'!$C$7),AC4)</f>
        <v>1.6386164402903942</v>
      </c>
      <c r="AE4" s="50">
        <f>IF(('Input - General and Overview'!$C$6)="Yes",AD4*(1+'Input - General and Overview'!$C$7),AD4)</f>
        <v>1.6795818512976539</v>
      </c>
      <c r="AF4" s="50">
        <f>IF(('Input - General and Overview'!$C$6)="Yes",AE4*(1+'Input - General and Overview'!$C$7),AE4)</f>
        <v>1.721571397580095</v>
      </c>
      <c r="AG4" s="50">
        <f>IF(('Input - General and Overview'!$C$6)="Yes",AF4*(1+'Input - General and Overview'!$C$7),AF4)</f>
        <v>1.7646106825195973</v>
      </c>
      <c r="AH4" s="50">
        <f>IF(('Input - General and Overview'!$C$6)="Yes",AG4*(1+'Input - General and Overview'!$C$7),AG4)</f>
        <v>1.8087259495825871</v>
      </c>
      <c r="AI4" s="50">
        <f>IF(('Input - General and Overview'!$C$6)="Yes",AH4*(1+'Input - General and Overview'!$C$7),AH4)</f>
        <v>1.8539440983221516</v>
      </c>
      <c r="AJ4" s="50">
        <f>IF(('Input - General and Overview'!$C$6)="Yes",AI4*(1+'Input - General and Overview'!$C$7),AI4)</f>
        <v>1.9002927007802053</v>
      </c>
      <c r="AK4" s="50">
        <f>IF(('Input - General and Overview'!$C$6)="Yes",AJ4*(1+'Input - General and Overview'!$C$7),AJ4)</f>
        <v>1.9478000182997102</v>
      </c>
      <c r="AL4" s="50">
        <f>IF(('Input - General and Overview'!$C$6)="Yes",AK4*(1+'Input - General and Overview'!$C$7),AK4)</f>
        <v>1.9964950187572028</v>
      </c>
      <c r="AM4" s="50">
        <f>IF(('Input - General and Overview'!$C$6)="Yes",AL4*(1+'Input - General and Overview'!$C$7),AL4)</f>
        <v>2.0464073942261325</v>
      </c>
      <c r="AN4" s="50">
        <f>IF(('Input - General and Overview'!$C$6)="Yes",AM4*(1+'Input - General and Overview'!$C$7),AM4)</f>
        <v>2.0975675790817858</v>
      </c>
      <c r="AO4" s="50">
        <f>IF(('Input - General and Overview'!$C$6)="Yes",AN4*(1+'Input - General and Overview'!$C$7),AN4)</f>
        <v>2.1500067685588302</v>
      </c>
      <c r="AP4" s="50">
        <f>IF(('Input - General and Overview'!$C$6)="Yes",AO4*(1+'Input - General and Overview'!$C$7),AO4)</f>
        <v>2.2037569377728006</v>
      </c>
      <c r="AQ4" s="50">
        <f>IF(('Input - General and Overview'!$C$6)="Yes",AP4*(1+'Input - General and Overview'!$C$7),AP4)</f>
        <v>2.2588508612171205</v>
      </c>
      <c r="AR4" s="50">
        <f>IF(('Input - General and Overview'!$C$6)="Yes",AQ4*(1+'Input - General and Overview'!$C$7),AQ4)</f>
        <v>2.3153221327475482</v>
      </c>
      <c r="AS4" s="50">
        <f>IF(('Input - General and Overview'!$C$6)="Yes",AR4*(1+'Input - General and Overview'!$C$7),AR4)</f>
        <v>2.3732051860662366</v>
      </c>
    </row>
    <row r="5" spans="1:45">
      <c r="B5" s="316" t="str">
        <f>'Inputs - List of Trees'!A3</f>
        <v xml:space="preserve">Use bulk number of trees or detailed list of trees? </v>
      </c>
      <c r="C5" s="317" t="str">
        <f>'Inputs - List of Trees'!D3</f>
        <v>Bulk number of trees</v>
      </c>
      <c r="H5" s="17"/>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row>
    <row r="6" spans="1:45">
      <c r="B6" s="316" t="s">
        <v>57</v>
      </c>
      <c r="C6" s="317">
        <f>'Inputs - List of Trees'!B111</f>
        <v>1</v>
      </c>
      <c r="H6" s="17"/>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row>
    <row r="7" spans="1:45">
      <c r="B7" s="9" t="s">
        <v>29</v>
      </c>
      <c r="C7" s="241" t="str">
        <f>IF(C5=BulkNumber,'Inputs - List of Trees'!$D$6,"See Below")</f>
        <v>Soft Landscape</v>
      </c>
      <c r="H7" s="17"/>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row>
    <row r="8" spans="1:45" ht="23.45">
      <c r="A8" s="13"/>
      <c r="B8" s="99" t="s">
        <v>22</v>
      </c>
      <c r="C8" s="13"/>
      <c r="D8" s="13"/>
      <c r="E8" s="13"/>
      <c r="F8" s="13"/>
      <c r="G8" s="13"/>
      <c r="H8" s="100"/>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row>
    <row r="9" spans="1:45">
      <c r="H9" s="17"/>
    </row>
    <row r="10" spans="1:45" ht="21">
      <c r="A10" s="239" t="s">
        <v>90</v>
      </c>
      <c r="B10" s="240"/>
      <c r="C10" s="240"/>
      <c r="D10" s="240"/>
      <c r="E10" s="240"/>
      <c r="F10" s="240"/>
      <c r="G10" s="240"/>
      <c r="H10" s="285"/>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row>
    <row r="11" spans="1:45" hidden="1" outlineLevel="1">
      <c r="H11" s="17"/>
    </row>
    <row r="12" spans="1:45" hidden="1" outlineLevel="1">
      <c r="C12" s="461" t="s">
        <v>345</v>
      </c>
      <c r="D12" s="461"/>
      <c r="E12" s="40" t="s">
        <v>57</v>
      </c>
      <c r="H12" s="17"/>
    </row>
    <row r="13" spans="1:45" ht="15.6" hidden="1" outlineLevel="1">
      <c r="C13" s="270">
        <v>0</v>
      </c>
      <c r="D13" s="271">
        <v>0</v>
      </c>
      <c r="E13" s="241">
        <f>IF(C3=C4,'Inputs - List of Trees'!B111,0)</f>
        <v>0</v>
      </c>
      <c r="H13" s="17"/>
    </row>
    <row r="14" spans="1:45" hidden="1" outlineLevel="1">
      <c r="H14" s="17"/>
    </row>
    <row r="15" spans="1:45" hidden="1" outlineLevel="1">
      <c r="C15" s="40" t="s">
        <v>346</v>
      </c>
      <c r="D15" s="40" t="s">
        <v>347</v>
      </c>
      <c r="H15" s="17"/>
    </row>
    <row r="16" spans="1:45" hidden="1" outlineLevel="1">
      <c r="B16" s="9" t="str">
        <f>'Option 3 - Cost Data LookUp'!D22</f>
        <v>Site survey</v>
      </c>
      <c r="C16" s="272">
        <f>IF($C$3=$C$4,'Option 3 - Cost Data LookUp'!I22,0)</f>
        <v>0</v>
      </c>
      <c r="D16" s="272">
        <f>IF($C$3=$C$4,(($C16)*$C$6),0)</f>
        <v>0</v>
      </c>
      <c r="H16" s="343">
        <f>SUM(J16:EJ16)</f>
        <v>0</v>
      </c>
      <c r="I16" s="216"/>
      <c r="J16" s="342">
        <f>-IF(AND(J$2&gt;=$C$13,J$2&lt;=$D$13),($D16)*J$4,0)</f>
        <v>0</v>
      </c>
      <c r="K16" s="342">
        <f t="shared" ref="K16:AS19" si="2">-IF(AND(K$2&gt;=$C$13,K$2&lt;=$D$13),($D16)*K$4,0)</f>
        <v>0</v>
      </c>
      <c r="L16" s="342">
        <f t="shared" si="2"/>
        <v>0</v>
      </c>
      <c r="M16" s="342">
        <f t="shared" si="2"/>
        <v>0</v>
      </c>
      <c r="N16" s="342">
        <f t="shared" si="2"/>
        <v>0</v>
      </c>
      <c r="O16" s="342">
        <f t="shared" si="2"/>
        <v>0</v>
      </c>
      <c r="P16" s="342">
        <f t="shared" si="2"/>
        <v>0</v>
      </c>
      <c r="Q16" s="342">
        <f t="shared" si="2"/>
        <v>0</v>
      </c>
      <c r="R16" s="342">
        <f t="shared" si="2"/>
        <v>0</v>
      </c>
      <c r="S16" s="342">
        <f t="shared" si="2"/>
        <v>0</v>
      </c>
      <c r="T16" s="342">
        <f t="shared" si="2"/>
        <v>0</v>
      </c>
      <c r="U16" s="342">
        <f t="shared" si="2"/>
        <v>0</v>
      </c>
      <c r="V16" s="342">
        <f t="shared" si="2"/>
        <v>0</v>
      </c>
      <c r="W16" s="342">
        <f t="shared" si="2"/>
        <v>0</v>
      </c>
      <c r="X16" s="342">
        <f t="shared" si="2"/>
        <v>0</v>
      </c>
      <c r="Y16" s="342">
        <f t="shared" si="2"/>
        <v>0</v>
      </c>
      <c r="Z16" s="342">
        <f t="shared" si="2"/>
        <v>0</v>
      </c>
      <c r="AA16" s="342">
        <f t="shared" si="2"/>
        <v>0</v>
      </c>
      <c r="AB16" s="342">
        <f t="shared" si="2"/>
        <v>0</v>
      </c>
      <c r="AC16" s="342">
        <f t="shared" si="2"/>
        <v>0</v>
      </c>
      <c r="AD16" s="342">
        <f t="shared" si="2"/>
        <v>0</v>
      </c>
      <c r="AE16" s="342">
        <f t="shared" si="2"/>
        <v>0</v>
      </c>
      <c r="AF16" s="342">
        <f t="shared" si="2"/>
        <v>0</v>
      </c>
      <c r="AG16" s="342">
        <f t="shared" si="2"/>
        <v>0</v>
      </c>
      <c r="AH16" s="342">
        <f t="shared" si="2"/>
        <v>0</v>
      </c>
      <c r="AI16" s="342">
        <f t="shared" si="2"/>
        <v>0</v>
      </c>
      <c r="AJ16" s="342">
        <f t="shared" si="2"/>
        <v>0</v>
      </c>
      <c r="AK16" s="342">
        <f t="shared" si="2"/>
        <v>0</v>
      </c>
      <c r="AL16" s="342">
        <f t="shared" si="2"/>
        <v>0</v>
      </c>
      <c r="AM16" s="342">
        <f t="shared" si="2"/>
        <v>0</v>
      </c>
      <c r="AN16" s="342">
        <f t="shared" si="2"/>
        <v>0</v>
      </c>
      <c r="AO16" s="342">
        <f t="shared" si="2"/>
        <v>0</v>
      </c>
      <c r="AP16" s="342">
        <f t="shared" si="2"/>
        <v>0</v>
      </c>
      <c r="AQ16" s="342">
        <f t="shared" si="2"/>
        <v>0</v>
      </c>
      <c r="AR16" s="342">
        <f t="shared" si="2"/>
        <v>0</v>
      </c>
      <c r="AS16" s="342">
        <f t="shared" si="2"/>
        <v>0</v>
      </c>
    </row>
    <row r="17" spans="1:45" s="342" customFormat="1" hidden="1" outlineLevel="1">
      <c r="A17"/>
      <c r="B17" s="9" t="str">
        <f>'Option 3 - Cost Data LookUp'!D23</f>
        <v>CAT scan</v>
      </c>
      <c r="C17" s="272">
        <f>IF($C$3=$C$4,'Option 3 - Cost Data LookUp'!I23,0)</f>
        <v>0</v>
      </c>
      <c r="D17" s="272">
        <f>IF($C$3=$C$4,(($C17)*$C$6),0)</f>
        <v>0</v>
      </c>
      <c r="E17"/>
      <c r="F17"/>
      <c r="G17"/>
      <c r="H17" s="343">
        <f>SUM(J17:EJ17)</f>
        <v>0</v>
      </c>
      <c r="I17" s="216"/>
      <c r="J17" s="342">
        <f>-IF(AND(J$2&gt;=$C$13,J$2&lt;=$D$13),($D17)*J$4,0)</f>
        <v>0</v>
      </c>
      <c r="K17" s="342">
        <f t="shared" si="2"/>
        <v>0</v>
      </c>
      <c r="L17" s="342">
        <f t="shared" si="2"/>
        <v>0</v>
      </c>
      <c r="M17" s="342">
        <f t="shared" si="2"/>
        <v>0</v>
      </c>
      <c r="N17" s="342">
        <f t="shared" si="2"/>
        <v>0</v>
      </c>
      <c r="O17" s="342">
        <f t="shared" si="2"/>
        <v>0</v>
      </c>
      <c r="P17" s="342">
        <f t="shared" si="2"/>
        <v>0</v>
      </c>
      <c r="Q17" s="342">
        <f t="shared" si="2"/>
        <v>0</v>
      </c>
      <c r="R17" s="342">
        <f t="shared" si="2"/>
        <v>0</v>
      </c>
      <c r="S17" s="342">
        <f t="shared" si="2"/>
        <v>0</v>
      </c>
      <c r="T17" s="342">
        <f t="shared" si="2"/>
        <v>0</v>
      </c>
      <c r="U17" s="342">
        <f t="shared" si="2"/>
        <v>0</v>
      </c>
      <c r="V17" s="342">
        <f t="shared" si="2"/>
        <v>0</v>
      </c>
      <c r="W17" s="342">
        <f t="shared" si="2"/>
        <v>0</v>
      </c>
      <c r="X17" s="342">
        <f t="shared" si="2"/>
        <v>0</v>
      </c>
      <c r="Y17" s="342">
        <f t="shared" si="2"/>
        <v>0</v>
      </c>
      <c r="Z17" s="342">
        <f t="shared" si="2"/>
        <v>0</v>
      </c>
      <c r="AA17" s="342">
        <f t="shared" si="2"/>
        <v>0</v>
      </c>
      <c r="AB17" s="342">
        <f t="shared" si="2"/>
        <v>0</v>
      </c>
      <c r="AC17" s="342">
        <f t="shared" si="2"/>
        <v>0</v>
      </c>
      <c r="AD17" s="342">
        <f t="shared" si="2"/>
        <v>0</v>
      </c>
      <c r="AE17" s="342">
        <f t="shared" si="2"/>
        <v>0</v>
      </c>
      <c r="AF17" s="342">
        <f t="shared" si="2"/>
        <v>0</v>
      </c>
      <c r="AG17" s="342">
        <f t="shared" si="2"/>
        <v>0</v>
      </c>
      <c r="AH17" s="342">
        <f t="shared" si="2"/>
        <v>0</v>
      </c>
      <c r="AI17" s="342">
        <f t="shared" si="2"/>
        <v>0</v>
      </c>
      <c r="AJ17" s="342">
        <f t="shared" si="2"/>
        <v>0</v>
      </c>
      <c r="AK17" s="342">
        <f t="shared" si="2"/>
        <v>0</v>
      </c>
      <c r="AL17" s="342">
        <f t="shared" si="2"/>
        <v>0</v>
      </c>
      <c r="AM17" s="342">
        <f t="shared" si="2"/>
        <v>0</v>
      </c>
      <c r="AN17" s="342">
        <f t="shared" si="2"/>
        <v>0</v>
      </c>
      <c r="AO17" s="342">
        <f t="shared" si="2"/>
        <v>0</v>
      </c>
      <c r="AP17" s="342">
        <f t="shared" si="2"/>
        <v>0</v>
      </c>
      <c r="AQ17" s="342">
        <f t="shared" si="2"/>
        <v>0</v>
      </c>
      <c r="AR17" s="342">
        <f t="shared" si="2"/>
        <v>0</v>
      </c>
      <c r="AS17" s="342">
        <f t="shared" si="2"/>
        <v>0</v>
      </c>
    </row>
    <row r="18" spans="1:45" s="342" customFormat="1" hidden="1" outlineLevel="1">
      <c r="A18"/>
      <c r="B18" s="9" t="str">
        <f>'Option 3 - Cost Data LookUp'!D24</f>
        <v>Community engagement</v>
      </c>
      <c r="C18" s="272">
        <f>IF($C$3=$C$4,'Option 3 - Cost Data LookUp'!I24,0)</f>
        <v>0</v>
      </c>
      <c r="D18" s="272">
        <f>IF($C$3=$C$4,(($C18)*$C$6),0)</f>
        <v>0</v>
      </c>
      <c r="E18"/>
      <c r="F18"/>
      <c r="G18"/>
      <c r="H18" s="343">
        <f>SUM(J18:EJ18)</f>
        <v>0</v>
      </c>
      <c r="I18" s="216"/>
      <c r="J18" s="342">
        <f>-IF(AND(J$2&gt;=$C$13,J$2&lt;=$D$13),($D18)*J$4,0)</f>
        <v>0</v>
      </c>
      <c r="K18" s="342">
        <f t="shared" si="2"/>
        <v>0</v>
      </c>
      <c r="L18" s="342">
        <f t="shared" si="2"/>
        <v>0</v>
      </c>
      <c r="M18" s="342">
        <f t="shared" si="2"/>
        <v>0</v>
      </c>
      <c r="N18" s="342">
        <f t="shared" si="2"/>
        <v>0</v>
      </c>
      <c r="O18" s="342">
        <f t="shared" si="2"/>
        <v>0</v>
      </c>
      <c r="P18" s="342">
        <f t="shared" si="2"/>
        <v>0</v>
      </c>
      <c r="Q18" s="342">
        <f t="shared" si="2"/>
        <v>0</v>
      </c>
      <c r="R18" s="342">
        <f t="shared" si="2"/>
        <v>0</v>
      </c>
      <c r="S18" s="342">
        <f t="shared" si="2"/>
        <v>0</v>
      </c>
      <c r="T18" s="342">
        <f t="shared" si="2"/>
        <v>0</v>
      </c>
      <c r="U18" s="342">
        <f t="shared" si="2"/>
        <v>0</v>
      </c>
      <c r="V18" s="342">
        <f t="shared" si="2"/>
        <v>0</v>
      </c>
      <c r="W18" s="342">
        <f t="shared" si="2"/>
        <v>0</v>
      </c>
      <c r="X18" s="342">
        <f t="shared" si="2"/>
        <v>0</v>
      </c>
      <c r="Y18" s="342">
        <f t="shared" si="2"/>
        <v>0</v>
      </c>
      <c r="Z18" s="342">
        <f t="shared" si="2"/>
        <v>0</v>
      </c>
      <c r="AA18" s="342">
        <f t="shared" si="2"/>
        <v>0</v>
      </c>
      <c r="AB18" s="342">
        <f t="shared" si="2"/>
        <v>0</v>
      </c>
      <c r="AC18" s="342">
        <f t="shared" si="2"/>
        <v>0</v>
      </c>
      <c r="AD18" s="342">
        <f t="shared" si="2"/>
        <v>0</v>
      </c>
      <c r="AE18" s="342">
        <f t="shared" si="2"/>
        <v>0</v>
      </c>
      <c r="AF18" s="342">
        <f t="shared" si="2"/>
        <v>0</v>
      </c>
      <c r="AG18" s="342">
        <f t="shared" si="2"/>
        <v>0</v>
      </c>
      <c r="AH18" s="342">
        <f t="shared" si="2"/>
        <v>0</v>
      </c>
      <c r="AI18" s="342">
        <f t="shared" si="2"/>
        <v>0</v>
      </c>
      <c r="AJ18" s="342">
        <f t="shared" si="2"/>
        <v>0</v>
      </c>
      <c r="AK18" s="342">
        <f t="shared" si="2"/>
        <v>0</v>
      </c>
      <c r="AL18" s="342">
        <f t="shared" si="2"/>
        <v>0</v>
      </c>
      <c r="AM18" s="342">
        <f t="shared" si="2"/>
        <v>0</v>
      </c>
      <c r="AN18" s="342">
        <f t="shared" si="2"/>
        <v>0</v>
      </c>
      <c r="AO18" s="342">
        <f t="shared" si="2"/>
        <v>0</v>
      </c>
      <c r="AP18" s="342">
        <f t="shared" si="2"/>
        <v>0</v>
      </c>
      <c r="AQ18" s="342">
        <f t="shared" si="2"/>
        <v>0</v>
      </c>
      <c r="AR18" s="342">
        <f t="shared" si="2"/>
        <v>0</v>
      </c>
      <c r="AS18" s="342">
        <f t="shared" si="2"/>
        <v>0</v>
      </c>
    </row>
    <row r="19" spans="1:45" s="342" customFormat="1" hidden="1" outlineLevel="1">
      <c r="A19"/>
      <c r="B19" s="9" t="str">
        <f>'Option 3 - Cost Data LookUp'!D25</f>
        <v>Project management (20% overhead)</v>
      </c>
      <c r="C19" s="272">
        <f>IF($C$3=$C$4,'Option 3 - Cost Data LookUp'!I25,0)</f>
        <v>0</v>
      </c>
      <c r="D19" s="272">
        <f>IF($C$3=$C$4,SUM(D16:D18)*0.2,0)</f>
        <v>0</v>
      </c>
      <c r="E19"/>
      <c r="F19"/>
      <c r="G19"/>
      <c r="H19" s="343">
        <f>SUM(J19:EJ19)</f>
        <v>0</v>
      </c>
      <c r="I19" s="216"/>
      <c r="J19" s="342">
        <f>-IF(AND(J$2&gt;=$C$13,J$2&lt;=$D$13),($D19)*J$4,0)</f>
        <v>0</v>
      </c>
      <c r="K19" s="342">
        <f t="shared" si="2"/>
        <v>0</v>
      </c>
      <c r="L19" s="342">
        <f t="shared" si="2"/>
        <v>0</v>
      </c>
      <c r="M19" s="342">
        <f t="shared" si="2"/>
        <v>0</v>
      </c>
      <c r="N19" s="342">
        <f t="shared" si="2"/>
        <v>0</v>
      </c>
      <c r="O19" s="342">
        <f t="shared" si="2"/>
        <v>0</v>
      </c>
      <c r="P19" s="342">
        <f t="shared" si="2"/>
        <v>0</v>
      </c>
      <c r="Q19" s="342">
        <f t="shared" si="2"/>
        <v>0</v>
      </c>
      <c r="R19" s="342">
        <f t="shared" si="2"/>
        <v>0</v>
      </c>
      <c r="S19" s="342">
        <f t="shared" si="2"/>
        <v>0</v>
      </c>
      <c r="T19" s="342">
        <f t="shared" si="2"/>
        <v>0</v>
      </c>
      <c r="U19" s="342">
        <f t="shared" si="2"/>
        <v>0</v>
      </c>
      <c r="V19" s="342">
        <f t="shared" si="2"/>
        <v>0</v>
      </c>
      <c r="W19" s="342">
        <f t="shared" si="2"/>
        <v>0</v>
      </c>
      <c r="X19" s="342">
        <f t="shared" si="2"/>
        <v>0</v>
      </c>
      <c r="Y19" s="342">
        <f t="shared" si="2"/>
        <v>0</v>
      </c>
      <c r="Z19" s="342">
        <f t="shared" si="2"/>
        <v>0</v>
      </c>
      <c r="AA19" s="342">
        <f t="shared" si="2"/>
        <v>0</v>
      </c>
      <c r="AB19" s="342">
        <f t="shared" si="2"/>
        <v>0</v>
      </c>
      <c r="AC19" s="342">
        <f t="shared" si="2"/>
        <v>0</v>
      </c>
      <c r="AD19" s="342">
        <f t="shared" si="2"/>
        <v>0</v>
      </c>
      <c r="AE19" s="342">
        <f t="shared" si="2"/>
        <v>0</v>
      </c>
      <c r="AF19" s="342">
        <f t="shared" si="2"/>
        <v>0</v>
      </c>
      <c r="AG19" s="342">
        <f t="shared" si="2"/>
        <v>0</v>
      </c>
      <c r="AH19" s="342">
        <f t="shared" si="2"/>
        <v>0</v>
      </c>
      <c r="AI19" s="342">
        <f t="shared" si="2"/>
        <v>0</v>
      </c>
      <c r="AJ19" s="342">
        <f t="shared" si="2"/>
        <v>0</v>
      </c>
      <c r="AK19" s="342">
        <f t="shared" si="2"/>
        <v>0</v>
      </c>
      <c r="AL19" s="342">
        <f t="shared" si="2"/>
        <v>0</v>
      </c>
      <c r="AM19" s="342">
        <f t="shared" si="2"/>
        <v>0</v>
      </c>
      <c r="AN19" s="342">
        <f t="shared" si="2"/>
        <v>0</v>
      </c>
      <c r="AO19" s="342">
        <f t="shared" si="2"/>
        <v>0</v>
      </c>
      <c r="AP19" s="342">
        <f t="shared" si="2"/>
        <v>0</v>
      </c>
      <c r="AQ19" s="342">
        <f t="shared" si="2"/>
        <v>0</v>
      </c>
      <c r="AR19" s="342">
        <f t="shared" si="2"/>
        <v>0</v>
      </c>
      <c r="AS19" s="342">
        <f t="shared" si="2"/>
        <v>0</v>
      </c>
    </row>
    <row r="20" spans="1:45" hidden="1" outlineLevel="1">
      <c r="C20" s="252"/>
      <c r="D20" s="252"/>
      <c r="H20" s="53"/>
      <c r="I20" s="216"/>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row>
    <row r="21" spans="1:45" hidden="1" outlineLevel="1">
      <c r="A21" s="15"/>
      <c r="B21" s="16" t="s">
        <v>306</v>
      </c>
      <c r="C21" s="12"/>
      <c r="D21" s="12"/>
      <c r="E21" s="12"/>
      <c r="F21" s="12"/>
      <c r="G21" s="12"/>
      <c r="H21" s="286">
        <f>SUM(H16:H19)</f>
        <v>0</v>
      </c>
      <c r="I21" s="299"/>
      <c r="J21" s="209">
        <f>SUM(J16:J19)</f>
        <v>0</v>
      </c>
      <c r="K21" s="209">
        <f t="shared" ref="K21:AS21" si="3">SUM(K16:K19)</f>
        <v>0</v>
      </c>
      <c r="L21" s="209">
        <f t="shared" si="3"/>
        <v>0</v>
      </c>
      <c r="M21" s="209">
        <f t="shared" si="3"/>
        <v>0</v>
      </c>
      <c r="N21" s="209">
        <f t="shared" si="3"/>
        <v>0</v>
      </c>
      <c r="O21" s="209">
        <f t="shared" si="3"/>
        <v>0</v>
      </c>
      <c r="P21" s="209">
        <f t="shared" si="3"/>
        <v>0</v>
      </c>
      <c r="Q21" s="209">
        <f t="shared" si="3"/>
        <v>0</v>
      </c>
      <c r="R21" s="209">
        <f t="shared" si="3"/>
        <v>0</v>
      </c>
      <c r="S21" s="209">
        <f t="shared" si="3"/>
        <v>0</v>
      </c>
      <c r="T21" s="209">
        <f t="shared" si="3"/>
        <v>0</v>
      </c>
      <c r="U21" s="209">
        <f t="shared" si="3"/>
        <v>0</v>
      </c>
      <c r="V21" s="209">
        <f t="shared" si="3"/>
        <v>0</v>
      </c>
      <c r="W21" s="209">
        <f t="shared" si="3"/>
        <v>0</v>
      </c>
      <c r="X21" s="209">
        <f t="shared" si="3"/>
        <v>0</v>
      </c>
      <c r="Y21" s="209">
        <f t="shared" si="3"/>
        <v>0</v>
      </c>
      <c r="Z21" s="209">
        <f t="shared" si="3"/>
        <v>0</v>
      </c>
      <c r="AA21" s="209">
        <f t="shared" si="3"/>
        <v>0</v>
      </c>
      <c r="AB21" s="209">
        <f t="shared" si="3"/>
        <v>0</v>
      </c>
      <c r="AC21" s="209">
        <f t="shared" si="3"/>
        <v>0</v>
      </c>
      <c r="AD21" s="209">
        <f t="shared" si="3"/>
        <v>0</v>
      </c>
      <c r="AE21" s="209">
        <f t="shared" si="3"/>
        <v>0</v>
      </c>
      <c r="AF21" s="209">
        <f t="shared" si="3"/>
        <v>0</v>
      </c>
      <c r="AG21" s="209">
        <f t="shared" si="3"/>
        <v>0</v>
      </c>
      <c r="AH21" s="209">
        <f t="shared" si="3"/>
        <v>0</v>
      </c>
      <c r="AI21" s="209">
        <f t="shared" si="3"/>
        <v>0</v>
      </c>
      <c r="AJ21" s="209">
        <f t="shared" si="3"/>
        <v>0</v>
      </c>
      <c r="AK21" s="209">
        <f t="shared" si="3"/>
        <v>0</v>
      </c>
      <c r="AL21" s="209">
        <f t="shared" si="3"/>
        <v>0</v>
      </c>
      <c r="AM21" s="209">
        <f t="shared" si="3"/>
        <v>0</v>
      </c>
      <c r="AN21" s="209">
        <f t="shared" si="3"/>
        <v>0</v>
      </c>
      <c r="AO21" s="209">
        <f t="shared" si="3"/>
        <v>0</v>
      </c>
      <c r="AP21" s="209">
        <f t="shared" si="3"/>
        <v>0</v>
      </c>
      <c r="AQ21" s="209">
        <f t="shared" si="3"/>
        <v>0</v>
      </c>
      <c r="AR21" s="209">
        <f t="shared" si="3"/>
        <v>0</v>
      </c>
      <c r="AS21" s="209">
        <f t="shared" si="3"/>
        <v>0</v>
      </c>
    </row>
    <row r="22" spans="1:45" collapsed="1">
      <c r="H22" s="17"/>
    </row>
    <row r="23" spans="1:45" ht="21">
      <c r="A23" s="239" t="s">
        <v>135</v>
      </c>
      <c r="B23" s="240"/>
      <c r="C23" s="240"/>
      <c r="D23" s="240"/>
      <c r="E23" s="240"/>
      <c r="F23" s="240"/>
      <c r="G23" s="240"/>
      <c r="H23" s="285"/>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row>
    <row r="24" spans="1:45" hidden="1" outlineLevel="1">
      <c r="H24" s="17"/>
    </row>
    <row r="25" spans="1:45" hidden="1" outlineLevel="1">
      <c r="C25" s="461" t="s">
        <v>345</v>
      </c>
      <c r="D25" s="461"/>
      <c r="H25" s="17"/>
    </row>
    <row r="26" spans="1:45" ht="15.6" hidden="1" outlineLevel="1">
      <c r="A26" s="464" t="s">
        <v>348</v>
      </c>
      <c r="C26" s="270">
        <v>0</v>
      </c>
      <c r="D26" s="271">
        <v>0</v>
      </c>
      <c r="H26" s="17"/>
    </row>
    <row r="27" spans="1:45" hidden="1" outlineLevel="1">
      <c r="A27" s="464"/>
      <c r="H27" s="17"/>
    </row>
    <row r="28" spans="1:45" hidden="1" outlineLevel="1">
      <c r="A28" s="464"/>
      <c r="B28" s="103" t="s">
        <v>29</v>
      </c>
      <c r="C28" s="220" t="s">
        <v>349</v>
      </c>
      <c r="D28" s="220" t="s">
        <v>350</v>
      </c>
      <c r="H28" s="17"/>
    </row>
    <row r="29" spans="1:45" ht="14.45" hidden="1" customHeight="1" outlineLevel="1">
      <c r="A29" s="464"/>
      <c r="B29" s="9" t="s">
        <v>351</v>
      </c>
      <c r="C29" s="273">
        <f>IF(AND(C3=C4,C5=BulkNumber,C7=SOFT_LANDSCAPE),'Option 3 - Cost Data LookUp'!F38,0)</f>
        <v>0</v>
      </c>
      <c r="D29" s="273">
        <f>IF(AND(C3=C4,C5=BulkNumber,C7=HARD_LANDSCAPE),'Option 3 - Cost Data LookUp'!F48,0)</f>
        <v>0</v>
      </c>
      <c r="H29" s="343">
        <f>SUM(J29:EJ29)</f>
        <v>0</v>
      </c>
      <c r="J29" s="342">
        <f>-IF(AND(J$2&gt;=$C$26,J$2&lt;=$D$26),SUM($C$29:$D$29)*$C$6*J$4,0)</f>
        <v>0</v>
      </c>
      <c r="K29" s="342">
        <f t="shared" ref="K29:AS29" si="4">-IF(AND(K$2&gt;=$C$26,K$2&lt;=$D$26),SUM($C$29:$D$29)*$C$6*K$4,0)</f>
        <v>0</v>
      </c>
      <c r="L29" s="342">
        <f t="shared" si="4"/>
        <v>0</v>
      </c>
      <c r="M29" s="342">
        <f t="shared" si="4"/>
        <v>0</v>
      </c>
      <c r="N29" s="342">
        <f t="shared" si="4"/>
        <v>0</v>
      </c>
      <c r="O29" s="342">
        <f t="shared" si="4"/>
        <v>0</v>
      </c>
      <c r="P29" s="342">
        <f t="shared" si="4"/>
        <v>0</v>
      </c>
      <c r="Q29" s="342">
        <f t="shared" si="4"/>
        <v>0</v>
      </c>
      <c r="R29" s="342">
        <f t="shared" si="4"/>
        <v>0</v>
      </c>
      <c r="S29" s="342">
        <f t="shared" si="4"/>
        <v>0</v>
      </c>
      <c r="T29" s="342">
        <f t="shared" si="4"/>
        <v>0</v>
      </c>
      <c r="U29" s="342">
        <f t="shared" si="4"/>
        <v>0</v>
      </c>
      <c r="V29" s="342">
        <f t="shared" si="4"/>
        <v>0</v>
      </c>
      <c r="W29" s="342">
        <f t="shared" si="4"/>
        <v>0</v>
      </c>
      <c r="X29" s="342">
        <f t="shared" si="4"/>
        <v>0</v>
      </c>
      <c r="Y29" s="342">
        <f t="shared" si="4"/>
        <v>0</v>
      </c>
      <c r="Z29" s="342">
        <f t="shared" si="4"/>
        <v>0</v>
      </c>
      <c r="AA29" s="342">
        <f t="shared" si="4"/>
        <v>0</v>
      </c>
      <c r="AB29" s="342">
        <f t="shared" si="4"/>
        <v>0</v>
      </c>
      <c r="AC29" s="342">
        <f t="shared" si="4"/>
        <v>0</v>
      </c>
      <c r="AD29" s="342">
        <f t="shared" si="4"/>
        <v>0</v>
      </c>
      <c r="AE29" s="342">
        <f t="shared" si="4"/>
        <v>0</v>
      </c>
      <c r="AF29" s="342">
        <f t="shared" si="4"/>
        <v>0</v>
      </c>
      <c r="AG29" s="342">
        <f t="shared" si="4"/>
        <v>0</v>
      </c>
      <c r="AH29" s="342">
        <f t="shared" si="4"/>
        <v>0</v>
      </c>
      <c r="AI29" s="342">
        <f t="shared" si="4"/>
        <v>0</v>
      </c>
      <c r="AJ29" s="342">
        <f t="shared" si="4"/>
        <v>0</v>
      </c>
      <c r="AK29" s="342">
        <f t="shared" si="4"/>
        <v>0</v>
      </c>
      <c r="AL29" s="342">
        <f t="shared" si="4"/>
        <v>0</v>
      </c>
      <c r="AM29" s="342">
        <f t="shared" si="4"/>
        <v>0</v>
      </c>
      <c r="AN29" s="342">
        <f t="shared" si="4"/>
        <v>0</v>
      </c>
      <c r="AO29" s="342">
        <f t="shared" si="4"/>
        <v>0</v>
      </c>
      <c r="AP29" s="342">
        <f t="shared" si="4"/>
        <v>0</v>
      </c>
      <c r="AQ29" s="342">
        <f t="shared" si="4"/>
        <v>0</v>
      </c>
      <c r="AR29" s="342">
        <f t="shared" si="4"/>
        <v>0</v>
      </c>
      <c r="AS29" s="342">
        <f t="shared" si="4"/>
        <v>0</v>
      </c>
    </row>
    <row r="30" spans="1:45" hidden="1" outlineLevel="1">
      <c r="H30" s="343"/>
    </row>
    <row r="31" spans="1:45" hidden="1" outlineLevel="1">
      <c r="A31" s="463" t="s">
        <v>352</v>
      </c>
      <c r="B31" s="103" t="s">
        <v>35</v>
      </c>
      <c r="C31" s="220" t="s">
        <v>30</v>
      </c>
      <c r="D31" s="40" t="s">
        <v>174</v>
      </c>
      <c r="E31" s="220" t="s">
        <v>353</v>
      </c>
      <c r="F31" s="40" t="s">
        <v>174</v>
      </c>
      <c r="H31" s="343"/>
    </row>
    <row r="32" spans="1:45" ht="15.6" hidden="1" outlineLevel="1">
      <c r="A32" s="463"/>
      <c r="B32" s="63" t="s">
        <v>354</v>
      </c>
      <c r="C32" s="241">
        <f>IF(($C$5=DetailedList),COUNTIFS('Inputs - List of Trees'!$E$9:$E$108,B32,'Inputs - List of Trees'!$F$9:$F$108,$C$31),0)</f>
        <v>0</v>
      </c>
      <c r="D32" s="272">
        <f>IF(AND($C$3=$C$4,C32&gt;0),(INDEX('Option 3 - Cost Data LookUp'!$F$32:$F$37, MATCH('Option 3 - Cashflow'!$B32,'Option 3 - Cost Data LookUp'!$D$32:$D$37, 0))),0)</f>
        <v>0</v>
      </c>
      <c r="E32" s="241">
        <f>IF(AND($C$5=DetailedList,$C$7=HARD_LANDSCAPE),COUNTIFS('Inputs - List of Trees'!$E$9:$E$108,$B32,'Inputs - List of Trees'!$F$9:$F$108,$E$31),0)</f>
        <v>0</v>
      </c>
      <c r="F32" s="272">
        <f>IF(AND($C$3=$C$4,E32&gt;0),(INDEX('Option 3 - Cost Data LookUp'!$F$42:$F$47, MATCH('Option 3 - Cashflow'!$B32,'Option 3 - Cost Data LookUp'!$D$42:$D$47, 0))),0)</f>
        <v>0</v>
      </c>
      <c r="H32" s="343">
        <f t="shared" ref="H32:H37" si="5">SUM(J32:EJ32)</f>
        <v>0</v>
      </c>
      <c r="I32" s="216"/>
      <c r="J32" s="342">
        <f>-IF(AND(J$2&gt;=$C$26,J$2&lt;=$D$26),SUM(($C32*$D32)+($E32*$F32))*J$4,0)</f>
        <v>0</v>
      </c>
      <c r="K32" s="342">
        <f t="shared" ref="K32:AS35" si="6">-IF(AND(K$2&gt;=$C$26,K$2&lt;=$D$26),SUM(($C32*$D32)+($E32*$F32))*K$4,0)</f>
        <v>0</v>
      </c>
      <c r="L32" s="342">
        <f t="shared" si="6"/>
        <v>0</v>
      </c>
      <c r="M32" s="342">
        <f t="shared" si="6"/>
        <v>0</v>
      </c>
      <c r="N32" s="342">
        <f t="shared" si="6"/>
        <v>0</v>
      </c>
      <c r="O32" s="342">
        <f t="shared" si="6"/>
        <v>0</v>
      </c>
      <c r="P32" s="342">
        <f t="shared" si="6"/>
        <v>0</v>
      </c>
      <c r="Q32" s="342">
        <f t="shared" si="6"/>
        <v>0</v>
      </c>
      <c r="R32" s="342">
        <f t="shared" si="6"/>
        <v>0</v>
      </c>
      <c r="S32" s="342">
        <f t="shared" si="6"/>
        <v>0</v>
      </c>
      <c r="T32" s="342">
        <f t="shared" si="6"/>
        <v>0</v>
      </c>
      <c r="U32" s="342">
        <f t="shared" si="6"/>
        <v>0</v>
      </c>
      <c r="V32" s="342">
        <f t="shared" si="6"/>
        <v>0</v>
      </c>
      <c r="W32" s="342">
        <f t="shared" si="6"/>
        <v>0</v>
      </c>
      <c r="X32" s="342">
        <f t="shared" si="6"/>
        <v>0</v>
      </c>
      <c r="Y32" s="342">
        <f t="shared" si="6"/>
        <v>0</v>
      </c>
      <c r="Z32" s="342">
        <f t="shared" si="6"/>
        <v>0</v>
      </c>
      <c r="AA32" s="342">
        <f t="shared" si="6"/>
        <v>0</v>
      </c>
      <c r="AB32" s="342">
        <f t="shared" si="6"/>
        <v>0</v>
      </c>
      <c r="AC32" s="342">
        <f t="shared" si="6"/>
        <v>0</v>
      </c>
      <c r="AD32" s="342">
        <f t="shared" si="6"/>
        <v>0</v>
      </c>
      <c r="AE32" s="342">
        <f t="shared" si="6"/>
        <v>0</v>
      </c>
      <c r="AF32" s="342">
        <f t="shared" si="6"/>
        <v>0</v>
      </c>
      <c r="AG32" s="342">
        <f t="shared" si="6"/>
        <v>0</v>
      </c>
      <c r="AH32" s="342">
        <f t="shared" si="6"/>
        <v>0</v>
      </c>
      <c r="AI32" s="342">
        <f t="shared" si="6"/>
        <v>0</v>
      </c>
      <c r="AJ32" s="342">
        <f t="shared" si="6"/>
        <v>0</v>
      </c>
      <c r="AK32" s="342">
        <f t="shared" si="6"/>
        <v>0</v>
      </c>
      <c r="AL32" s="342">
        <f t="shared" si="6"/>
        <v>0</v>
      </c>
      <c r="AM32" s="342">
        <f t="shared" si="6"/>
        <v>0</v>
      </c>
      <c r="AN32" s="342">
        <f t="shared" si="6"/>
        <v>0</v>
      </c>
      <c r="AO32" s="342">
        <f t="shared" si="6"/>
        <v>0</v>
      </c>
      <c r="AP32" s="342">
        <f t="shared" si="6"/>
        <v>0</v>
      </c>
      <c r="AQ32" s="342">
        <f t="shared" si="6"/>
        <v>0</v>
      </c>
      <c r="AR32" s="342">
        <f t="shared" si="6"/>
        <v>0</v>
      </c>
      <c r="AS32" s="342">
        <f t="shared" si="6"/>
        <v>0</v>
      </c>
    </row>
    <row r="33" spans="1:45" ht="15.6" hidden="1" outlineLevel="1">
      <c r="A33" s="463"/>
      <c r="B33" s="63" t="s">
        <v>355</v>
      </c>
      <c r="C33" s="241">
        <f>IF(($C$5=DetailedList),COUNTIFS('Inputs - List of Trees'!$E$9:$E$108,B33,'Inputs - List of Trees'!$F$9:$F$108,$C$31),0)</f>
        <v>0</v>
      </c>
      <c r="D33" s="272">
        <f>IF(AND($C$3=$C$4,C33&gt;0),(INDEX('Option 3 - Cost Data LookUp'!$F$32:$F$37, MATCH('Option 3 - Cashflow'!$B33,'Option 3 - Cost Data LookUp'!$D$32:$D$37, 0))),0)</f>
        <v>0</v>
      </c>
      <c r="E33" s="241">
        <f>IF(AND($C$5=DetailedList,$C$7=HARD_LANDSCAPE),COUNTIFS('Inputs - List of Trees'!$E$9:$E$108,$B33,'Inputs - List of Trees'!$F$9:$F$108,$E$31),0)</f>
        <v>0</v>
      </c>
      <c r="F33" s="272">
        <f>IF(AND($C$3=$C$4,E33&gt;0),(INDEX('Option 3 - Cost Data LookUp'!$F$42:$F$47, MATCH('Option 3 - Cashflow'!$B33,'Option 3 - Cost Data LookUp'!$D$42:$D$47, 0))),0)</f>
        <v>0</v>
      </c>
      <c r="H33" s="343">
        <f t="shared" si="5"/>
        <v>0</v>
      </c>
      <c r="I33" s="216"/>
      <c r="J33" s="342">
        <f>-IF(AND(J$2&gt;=$C$26,J$2&lt;=$D$26),SUM(($C33*$D33)+($E33*$F33))*J$4,0)</f>
        <v>0</v>
      </c>
      <c r="K33" s="342">
        <f t="shared" si="6"/>
        <v>0</v>
      </c>
      <c r="L33" s="342">
        <f t="shared" si="6"/>
        <v>0</v>
      </c>
      <c r="M33" s="342">
        <f t="shared" si="6"/>
        <v>0</v>
      </c>
      <c r="N33" s="342">
        <f t="shared" si="6"/>
        <v>0</v>
      </c>
      <c r="O33" s="342">
        <f t="shared" si="6"/>
        <v>0</v>
      </c>
      <c r="P33" s="342">
        <f t="shared" si="6"/>
        <v>0</v>
      </c>
      <c r="Q33" s="342">
        <f t="shared" si="6"/>
        <v>0</v>
      </c>
      <c r="R33" s="342">
        <f t="shared" si="6"/>
        <v>0</v>
      </c>
      <c r="S33" s="342">
        <f t="shared" si="6"/>
        <v>0</v>
      </c>
      <c r="T33" s="342">
        <f t="shared" si="6"/>
        <v>0</v>
      </c>
      <c r="U33" s="342">
        <f t="shared" si="6"/>
        <v>0</v>
      </c>
      <c r="V33" s="342">
        <f t="shared" si="6"/>
        <v>0</v>
      </c>
      <c r="W33" s="342">
        <f t="shared" si="6"/>
        <v>0</v>
      </c>
      <c r="X33" s="342">
        <f t="shared" si="6"/>
        <v>0</v>
      </c>
      <c r="Y33" s="342">
        <f t="shared" si="6"/>
        <v>0</v>
      </c>
      <c r="Z33" s="342">
        <f t="shared" si="6"/>
        <v>0</v>
      </c>
      <c r="AA33" s="342">
        <f t="shared" si="6"/>
        <v>0</v>
      </c>
      <c r="AB33" s="342">
        <f t="shared" si="6"/>
        <v>0</v>
      </c>
      <c r="AC33" s="342">
        <f t="shared" si="6"/>
        <v>0</v>
      </c>
      <c r="AD33" s="342">
        <f t="shared" si="6"/>
        <v>0</v>
      </c>
      <c r="AE33" s="342">
        <f t="shared" si="6"/>
        <v>0</v>
      </c>
      <c r="AF33" s="342">
        <f t="shared" si="6"/>
        <v>0</v>
      </c>
      <c r="AG33" s="342">
        <f t="shared" si="6"/>
        <v>0</v>
      </c>
      <c r="AH33" s="342">
        <f t="shared" si="6"/>
        <v>0</v>
      </c>
      <c r="AI33" s="342">
        <f t="shared" si="6"/>
        <v>0</v>
      </c>
      <c r="AJ33" s="342">
        <f t="shared" si="6"/>
        <v>0</v>
      </c>
      <c r="AK33" s="342">
        <f t="shared" si="6"/>
        <v>0</v>
      </c>
      <c r="AL33" s="342">
        <f t="shared" si="6"/>
        <v>0</v>
      </c>
      <c r="AM33" s="342">
        <f t="shared" si="6"/>
        <v>0</v>
      </c>
      <c r="AN33" s="342">
        <f t="shared" si="6"/>
        <v>0</v>
      </c>
      <c r="AO33" s="342">
        <f t="shared" si="6"/>
        <v>0</v>
      </c>
      <c r="AP33" s="342">
        <f t="shared" si="6"/>
        <v>0</v>
      </c>
      <c r="AQ33" s="342">
        <f t="shared" si="6"/>
        <v>0</v>
      </c>
      <c r="AR33" s="342">
        <f t="shared" si="6"/>
        <v>0</v>
      </c>
      <c r="AS33" s="342">
        <f t="shared" si="6"/>
        <v>0</v>
      </c>
    </row>
    <row r="34" spans="1:45" ht="15.6" hidden="1" outlineLevel="1">
      <c r="A34" s="463"/>
      <c r="B34" s="63" t="s">
        <v>356</v>
      </c>
      <c r="C34" s="241">
        <f>IF(($C$5=DetailedList),COUNTIFS('Inputs - List of Trees'!$E$9:$E$108,B34,'Inputs - List of Trees'!$F$9:$F$108,$C$31),0)</f>
        <v>0</v>
      </c>
      <c r="D34" s="272">
        <f>IF(AND($C$3=$C$4,C34&gt;0),(INDEX('Option 3 - Cost Data LookUp'!$F$32:$F$37, MATCH('Option 3 - Cashflow'!$B34,'Option 3 - Cost Data LookUp'!$D$32:$D$37, 0))),0)</f>
        <v>0</v>
      </c>
      <c r="E34" s="241">
        <f>IF(AND($C$5=DetailedList,$C$7=HARD_LANDSCAPE),COUNTIFS('Inputs - List of Trees'!$E$9:$E$108,$B34,'Inputs - List of Trees'!$F$9:$F$108,$E$31),0)</f>
        <v>0</v>
      </c>
      <c r="F34" s="272">
        <f>IF(AND($C$3=$C$4,E34&gt;0),(INDEX('Option 3 - Cost Data LookUp'!$F$42:$F$47, MATCH('Option 3 - Cashflow'!$B34,'Option 3 - Cost Data LookUp'!$D$42:$D$47, 0))),0)</f>
        <v>0</v>
      </c>
      <c r="H34" s="343">
        <f t="shared" si="5"/>
        <v>0</v>
      </c>
      <c r="I34" s="216"/>
      <c r="J34" s="342">
        <f>-IF(AND(J$2&gt;=$C$26,J$2&lt;=$D$26),SUM(($C34*$D34)+($E34*$F34))*J$4,0)</f>
        <v>0</v>
      </c>
      <c r="K34" s="342">
        <f t="shared" si="6"/>
        <v>0</v>
      </c>
      <c r="L34" s="342">
        <f t="shared" si="6"/>
        <v>0</v>
      </c>
      <c r="M34" s="342">
        <f t="shared" si="6"/>
        <v>0</v>
      </c>
      <c r="N34" s="342">
        <f t="shared" si="6"/>
        <v>0</v>
      </c>
      <c r="O34" s="342">
        <f t="shared" si="6"/>
        <v>0</v>
      </c>
      <c r="P34" s="342">
        <f t="shared" si="6"/>
        <v>0</v>
      </c>
      <c r="Q34" s="342">
        <f t="shared" si="6"/>
        <v>0</v>
      </c>
      <c r="R34" s="342">
        <f t="shared" si="6"/>
        <v>0</v>
      </c>
      <c r="S34" s="342">
        <f t="shared" si="6"/>
        <v>0</v>
      </c>
      <c r="T34" s="342">
        <f t="shared" si="6"/>
        <v>0</v>
      </c>
      <c r="U34" s="342">
        <f t="shared" si="6"/>
        <v>0</v>
      </c>
      <c r="V34" s="342">
        <f t="shared" si="6"/>
        <v>0</v>
      </c>
      <c r="W34" s="342">
        <f t="shared" si="6"/>
        <v>0</v>
      </c>
      <c r="X34" s="342">
        <f t="shared" si="6"/>
        <v>0</v>
      </c>
      <c r="Y34" s="342">
        <f t="shared" si="6"/>
        <v>0</v>
      </c>
      <c r="Z34" s="342">
        <f t="shared" si="6"/>
        <v>0</v>
      </c>
      <c r="AA34" s="342">
        <f t="shared" si="6"/>
        <v>0</v>
      </c>
      <c r="AB34" s="342">
        <f t="shared" si="6"/>
        <v>0</v>
      </c>
      <c r="AC34" s="342">
        <f t="shared" si="6"/>
        <v>0</v>
      </c>
      <c r="AD34" s="342">
        <f t="shared" si="6"/>
        <v>0</v>
      </c>
      <c r="AE34" s="342">
        <f t="shared" si="6"/>
        <v>0</v>
      </c>
      <c r="AF34" s="342">
        <f t="shared" si="6"/>
        <v>0</v>
      </c>
      <c r="AG34" s="342">
        <f t="shared" si="6"/>
        <v>0</v>
      </c>
      <c r="AH34" s="342">
        <f t="shared" si="6"/>
        <v>0</v>
      </c>
      <c r="AI34" s="342">
        <f t="shared" si="6"/>
        <v>0</v>
      </c>
      <c r="AJ34" s="342">
        <f t="shared" si="6"/>
        <v>0</v>
      </c>
      <c r="AK34" s="342">
        <f t="shared" si="6"/>
        <v>0</v>
      </c>
      <c r="AL34" s="342">
        <f t="shared" si="6"/>
        <v>0</v>
      </c>
      <c r="AM34" s="342">
        <f t="shared" si="6"/>
        <v>0</v>
      </c>
      <c r="AN34" s="342">
        <f t="shared" si="6"/>
        <v>0</v>
      </c>
      <c r="AO34" s="342">
        <f t="shared" si="6"/>
        <v>0</v>
      </c>
      <c r="AP34" s="342">
        <f t="shared" si="6"/>
        <v>0</v>
      </c>
      <c r="AQ34" s="342">
        <f t="shared" si="6"/>
        <v>0</v>
      </c>
      <c r="AR34" s="342">
        <f t="shared" si="6"/>
        <v>0</v>
      </c>
      <c r="AS34" s="342">
        <f t="shared" si="6"/>
        <v>0</v>
      </c>
    </row>
    <row r="35" spans="1:45" ht="15.6" hidden="1" outlineLevel="1">
      <c r="A35" s="463"/>
      <c r="B35" s="63" t="s">
        <v>357</v>
      </c>
      <c r="C35" s="241">
        <f>IF(($C$5=DetailedList),COUNTIFS('Inputs - List of Trees'!$E$9:$E$108,B35,'Inputs - List of Trees'!$F$9:$F$108,$C$31),0)</f>
        <v>0</v>
      </c>
      <c r="D35" s="272">
        <f>IF(AND($C$3=$C$4,C35&gt;0),(INDEX('Option 3 - Cost Data LookUp'!$F$32:$F$37, MATCH('Option 3 - Cashflow'!$B35,'Option 3 - Cost Data LookUp'!$D$32:$D$37, 0))),0)</f>
        <v>0</v>
      </c>
      <c r="E35" s="241">
        <f>IF(AND($C$5=DetailedList,$C$7=HARD_LANDSCAPE),COUNTIFS('Inputs - List of Trees'!$E$9:$E$108,$B35,'Inputs - List of Trees'!$F$9:$F$108,$E$31),0)</f>
        <v>0</v>
      </c>
      <c r="F35" s="272">
        <f>IF(AND($C$3=$C$4,E35&gt;0),(INDEX('Option 3 - Cost Data LookUp'!$F$42:$F$47, MATCH('Option 3 - Cashflow'!$B35,'Option 3 - Cost Data LookUp'!$D$42:$D$47, 0))),0)</f>
        <v>0</v>
      </c>
      <c r="H35" s="343">
        <f t="shared" si="5"/>
        <v>0</v>
      </c>
      <c r="I35" s="216"/>
      <c r="J35" s="342">
        <f>-IF(AND(J$2&gt;=$C$26,J$2&lt;=$D$26),SUM(($C35*$D35)+($E35*$F35))*J$4,0)</f>
        <v>0</v>
      </c>
      <c r="K35" s="342">
        <f t="shared" si="6"/>
        <v>0</v>
      </c>
      <c r="L35" s="342">
        <f t="shared" si="6"/>
        <v>0</v>
      </c>
      <c r="M35" s="342">
        <f t="shared" si="6"/>
        <v>0</v>
      </c>
      <c r="N35" s="342">
        <f t="shared" si="6"/>
        <v>0</v>
      </c>
      <c r="O35" s="342">
        <f t="shared" si="6"/>
        <v>0</v>
      </c>
      <c r="P35" s="342">
        <f t="shared" si="6"/>
        <v>0</v>
      </c>
      <c r="Q35" s="342">
        <f t="shared" si="6"/>
        <v>0</v>
      </c>
      <c r="R35" s="342">
        <f t="shared" si="6"/>
        <v>0</v>
      </c>
      <c r="S35" s="342">
        <f t="shared" si="6"/>
        <v>0</v>
      </c>
      <c r="T35" s="342">
        <f t="shared" si="6"/>
        <v>0</v>
      </c>
      <c r="U35" s="342">
        <f t="shared" si="6"/>
        <v>0</v>
      </c>
      <c r="V35" s="342">
        <f t="shared" si="6"/>
        <v>0</v>
      </c>
      <c r="W35" s="342">
        <f t="shared" si="6"/>
        <v>0</v>
      </c>
      <c r="X35" s="342">
        <f t="shared" si="6"/>
        <v>0</v>
      </c>
      <c r="Y35" s="342">
        <f t="shared" si="6"/>
        <v>0</v>
      </c>
      <c r="Z35" s="342">
        <f t="shared" si="6"/>
        <v>0</v>
      </c>
      <c r="AA35" s="342">
        <f t="shared" si="6"/>
        <v>0</v>
      </c>
      <c r="AB35" s="342">
        <f t="shared" si="6"/>
        <v>0</v>
      </c>
      <c r="AC35" s="342">
        <f t="shared" si="6"/>
        <v>0</v>
      </c>
      <c r="AD35" s="342">
        <f t="shared" si="6"/>
        <v>0</v>
      </c>
      <c r="AE35" s="342">
        <f t="shared" si="6"/>
        <v>0</v>
      </c>
      <c r="AF35" s="342">
        <f t="shared" si="6"/>
        <v>0</v>
      </c>
      <c r="AG35" s="342">
        <f t="shared" si="6"/>
        <v>0</v>
      </c>
      <c r="AH35" s="342">
        <f t="shared" si="6"/>
        <v>0</v>
      </c>
      <c r="AI35" s="342">
        <f t="shared" si="6"/>
        <v>0</v>
      </c>
      <c r="AJ35" s="342">
        <f t="shared" si="6"/>
        <v>0</v>
      </c>
      <c r="AK35" s="342">
        <f t="shared" si="6"/>
        <v>0</v>
      </c>
      <c r="AL35" s="342">
        <f t="shared" si="6"/>
        <v>0</v>
      </c>
      <c r="AM35" s="342">
        <f t="shared" si="6"/>
        <v>0</v>
      </c>
      <c r="AN35" s="342">
        <f t="shared" si="6"/>
        <v>0</v>
      </c>
      <c r="AO35" s="342">
        <f t="shared" si="6"/>
        <v>0</v>
      </c>
      <c r="AP35" s="342">
        <f t="shared" si="6"/>
        <v>0</v>
      </c>
      <c r="AQ35" s="342">
        <f t="shared" si="6"/>
        <v>0</v>
      </c>
      <c r="AR35" s="342">
        <f t="shared" si="6"/>
        <v>0</v>
      </c>
      <c r="AS35" s="342">
        <f t="shared" si="6"/>
        <v>0</v>
      </c>
    </row>
    <row r="36" spans="1:45" ht="15.6" hidden="1" outlineLevel="1">
      <c r="A36" s="463"/>
      <c r="B36" s="63" t="s">
        <v>358</v>
      </c>
      <c r="C36" s="241">
        <f>IF(($C$5=DetailedList),COUNTIFS('Inputs - List of Trees'!$E$9:$E$108,B36,'Inputs - List of Trees'!$F$9:$F$108,$C$31),0)</f>
        <v>0</v>
      </c>
      <c r="D36" s="272">
        <f>IF(AND($C$3=$C$4,C36&gt;0),(INDEX('Option 3 - Cost Data LookUp'!$F$32:$F$37, MATCH('Option 3 - Cashflow'!$B36,'Option 3 - Cost Data LookUp'!$D$32:$D$37, 0))),0)</f>
        <v>0</v>
      </c>
      <c r="E36" s="241">
        <f>IF(AND($C$5=DetailedList,$C$7=HARD_LANDSCAPE),COUNTIFS('Inputs - List of Trees'!$E$9:$E$108,$B36,'Inputs - List of Trees'!$F$9:$F$108,$E$31),0)</f>
        <v>0</v>
      </c>
      <c r="F36" s="272">
        <f>IF(AND($C$3=$C$4,E36&gt;0),(INDEX('Option 3 - Cost Data LookUp'!$F$42:$F$47, MATCH('Option 3 - Cashflow'!$B36,'Option 3 - Cost Data LookUp'!$D$42:$D$47, 0))),0)</f>
        <v>0</v>
      </c>
      <c r="H36" s="343">
        <f t="shared" si="5"/>
        <v>0</v>
      </c>
      <c r="I36" s="216"/>
      <c r="J36" s="342">
        <f t="shared" ref="J36:Y37" si="7">-IF(AND(J$2&gt;=$C$26,J$2&lt;=$D$26),SUM(($C36*$D36)+($E36*$F36))*J$4,0)</f>
        <v>0</v>
      </c>
      <c r="K36" s="342">
        <f t="shared" si="7"/>
        <v>0</v>
      </c>
      <c r="L36" s="342">
        <f t="shared" si="7"/>
        <v>0</v>
      </c>
      <c r="M36" s="342">
        <f t="shared" si="7"/>
        <v>0</v>
      </c>
      <c r="N36" s="342">
        <f t="shared" si="7"/>
        <v>0</v>
      </c>
      <c r="O36" s="342">
        <f t="shared" si="7"/>
        <v>0</v>
      </c>
      <c r="P36" s="342">
        <f t="shared" si="7"/>
        <v>0</v>
      </c>
      <c r="Q36" s="342">
        <f t="shared" si="7"/>
        <v>0</v>
      </c>
      <c r="R36" s="342">
        <f t="shared" si="7"/>
        <v>0</v>
      </c>
      <c r="S36" s="342">
        <f t="shared" si="7"/>
        <v>0</v>
      </c>
      <c r="T36" s="342">
        <f t="shared" si="7"/>
        <v>0</v>
      </c>
      <c r="U36" s="342">
        <f t="shared" si="7"/>
        <v>0</v>
      </c>
      <c r="V36" s="342">
        <f t="shared" si="7"/>
        <v>0</v>
      </c>
      <c r="W36" s="342">
        <f t="shared" si="7"/>
        <v>0</v>
      </c>
      <c r="X36" s="342">
        <f t="shared" si="7"/>
        <v>0</v>
      </c>
      <c r="Y36" s="342">
        <f t="shared" si="7"/>
        <v>0</v>
      </c>
      <c r="Z36" s="342">
        <f t="shared" ref="Z36:AS37" si="8">-IF(AND(Z$2&gt;=$C$26,Z$2&lt;=$D$26),SUM(($C36*$D36)+($E36*$F36))*Z$4,0)</f>
        <v>0</v>
      </c>
      <c r="AA36" s="342">
        <f t="shared" si="8"/>
        <v>0</v>
      </c>
      <c r="AB36" s="342">
        <f t="shared" si="8"/>
        <v>0</v>
      </c>
      <c r="AC36" s="342">
        <f t="shared" si="8"/>
        <v>0</v>
      </c>
      <c r="AD36" s="342">
        <f t="shared" si="8"/>
        <v>0</v>
      </c>
      <c r="AE36" s="342">
        <f t="shared" si="8"/>
        <v>0</v>
      </c>
      <c r="AF36" s="342">
        <f t="shared" si="8"/>
        <v>0</v>
      </c>
      <c r="AG36" s="342">
        <f t="shared" si="8"/>
        <v>0</v>
      </c>
      <c r="AH36" s="342">
        <f t="shared" si="8"/>
        <v>0</v>
      </c>
      <c r="AI36" s="342">
        <f t="shared" si="8"/>
        <v>0</v>
      </c>
      <c r="AJ36" s="342">
        <f t="shared" si="8"/>
        <v>0</v>
      </c>
      <c r="AK36" s="342">
        <f t="shared" si="8"/>
        <v>0</v>
      </c>
      <c r="AL36" s="342">
        <f t="shared" si="8"/>
        <v>0</v>
      </c>
      <c r="AM36" s="342">
        <f t="shared" si="8"/>
        <v>0</v>
      </c>
      <c r="AN36" s="342">
        <f t="shared" si="8"/>
        <v>0</v>
      </c>
      <c r="AO36" s="342">
        <f t="shared" si="8"/>
        <v>0</v>
      </c>
      <c r="AP36" s="342">
        <f t="shared" si="8"/>
        <v>0</v>
      </c>
      <c r="AQ36" s="342">
        <f t="shared" si="8"/>
        <v>0</v>
      </c>
      <c r="AR36" s="342">
        <f t="shared" si="8"/>
        <v>0</v>
      </c>
      <c r="AS36" s="342">
        <f t="shared" si="8"/>
        <v>0</v>
      </c>
    </row>
    <row r="37" spans="1:45" ht="15.6" hidden="1" outlineLevel="1">
      <c r="A37" s="463"/>
      <c r="B37" s="63" t="s">
        <v>359</v>
      </c>
      <c r="C37" s="241">
        <f>IF(($C$5=DetailedList),COUNTIFS('Inputs - List of Trees'!$E$9:$E$108,B37,'Inputs - List of Trees'!$F$9:$F$108,$C$31),0)</f>
        <v>0</v>
      </c>
      <c r="D37" s="272">
        <f>IF(AND($C$3=$C$4,C37&gt;0),(INDEX('Option 3 - Cost Data LookUp'!$F$32:$F$37, MATCH('Option 3 - Cashflow'!$B37,'Option 3 - Cost Data LookUp'!$D$32:$D$37, 0))),0)</f>
        <v>0</v>
      </c>
      <c r="E37" s="241">
        <f>IF(AND($C$5=DetailedList,$C$7=HARD_LANDSCAPE),COUNTIFS('Inputs - List of Trees'!$E$9:$E$108,$B37,'Inputs - List of Trees'!$F$9:$F$108,$E$31),0)</f>
        <v>0</v>
      </c>
      <c r="F37" s="272">
        <f>IF(AND($C$3=$C$4,E37&gt;0),(INDEX('Option 3 - Cost Data LookUp'!$F$42:$F$47, MATCH('Option 3 - Cashflow'!$B37,'Option 3 - Cost Data LookUp'!$D$42:$D$47, 0))),0)</f>
        <v>0</v>
      </c>
      <c r="H37" s="343">
        <f t="shared" si="5"/>
        <v>0</v>
      </c>
      <c r="I37" s="216"/>
      <c r="J37" s="342">
        <f>-IF(AND(J$2&gt;=$C$26,J$2&lt;=$D$26),SUM(($C37*$D37)+($E37*$F37))*J$4,0)</f>
        <v>0</v>
      </c>
      <c r="K37" s="342">
        <f t="shared" si="7"/>
        <v>0</v>
      </c>
      <c r="L37" s="342">
        <f t="shared" si="7"/>
        <v>0</v>
      </c>
      <c r="M37" s="342">
        <f t="shared" si="7"/>
        <v>0</v>
      </c>
      <c r="N37" s="342">
        <f t="shared" si="7"/>
        <v>0</v>
      </c>
      <c r="O37" s="342">
        <f t="shared" si="7"/>
        <v>0</v>
      </c>
      <c r="P37" s="342">
        <f t="shared" si="7"/>
        <v>0</v>
      </c>
      <c r="Q37" s="342">
        <f t="shared" si="7"/>
        <v>0</v>
      </c>
      <c r="R37" s="342">
        <f t="shared" si="7"/>
        <v>0</v>
      </c>
      <c r="S37" s="342">
        <f t="shared" si="7"/>
        <v>0</v>
      </c>
      <c r="T37" s="342">
        <f t="shared" si="7"/>
        <v>0</v>
      </c>
      <c r="U37" s="342">
        <f t="shared" si="7"/>
        <v>0</v>
      </c>
      <c r="V37" s="342">
        <f t="shared" si="7"/>
        <v>0</v>
      </c>
      <c r="W37" s="342">
        <f t="shared" si="7"/>
        <v>0</v>
      </c>
      <c r="X37" s="342">
        <f t="shared" si="7"/>
        <v>0</v>
      </c>
      <c r="Y37" s="342">
        <f t="shared" si="7"/>
        <v>0</v>
      </c>
      <c r="Z37" s="342">
        <f t="shared" si="8"/>
        <v>0</v>
      </c>
      <c r="AA37" s="342">
        <f t="shared" si="8"/>
        <v>0</v>
      </c>
      <c r="AB37" s="342">
        <f t="shared" si="8"/>
        <v>0</v>
      </c>
      <c r="AC37" s="342">
        <f t="shared" si="8"/>
        <v>0</v>
      </c>
      <c r="AD37" s="342">
        <f t="shared" si="8"/>
        <v>0</v>
      </c>
      <c r="AE37" s="342">
        <f t="shared" si="8"/>
        <v>0</v>
      </c>
      <c r="AF37" s="342">
        <f t="shared" si="8"/>
        <v>0</v>
      </c>
      <c r="AG37" s="342">
        <f t="shared" si="8"/>
        <v>0</v>
      </c>
      <c r="AH37" s="342">
        <f t="shared" si="8"/>
        <v>0</v>
      </c>
      <c r="AI37" s="342">
        <f t="shared" si="8"/>
        <v>0</v>
      </c>
      <c r="AJ37" s="342">
        <f t="shared" si="8"/>
        <v>0</v>
      </c>
      <c r="AK37" s="342">
        <f t="shared" si="8"/>
        <v>0</v>
      </c>
      <c r="AL37" s="342">
        <f t="shared" si="8"/>
        <v>0</v>
      </c>
      <c r="AM37" s="342">
        <f t="shared" si="8"/>
        <v>0</v>
      </c>
      <c r="AN37" s="342">
        <f t="shared" si="8"/>
        <v>0</v>
      </c>
      <c r="AO37" s="342">
        <f t="shared" si="8"/>
        <v>0</v>
      </c>
      <c r="AP37" s="342">
        <f t="shared" si="8"/>
        <v>0</v>
      </c>
      <c r="AQ37" s="342">
        <f t="shared" si="8"/>
        <v>0</v>
      </c>
      <c r="AR37" s="342">
        <f t="shared" si="8"/>
        <v>0</v>
      </c>
      <c r="AS37" s="342">
        <f t="shared" si="8"/>
        <v>0</v>
      </c>
    </row>
    <row r="38" spans="1:45" ht="15.6" hidden="1" outlineLevel="1">
      <c r="B38" s="1"/>
      <c r="C38" s="251"/>
      <c r="D38" s="252"/>
      <c r="E38" s="251"/>
      <c r="F38" s="252"/>
      <c r="H38" s="53"/>
      <c r="I38" s="216"/>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row>
    <row r="39" spans="1:45" ht="15.6" hidden="1" outlineLevel="1">
      <c r="B39" s="63" t="str">
        <f>'Input - General and Overview'!B9</f>
        <v xml:space="preserve">Bulk tree purchase offer </v>
      </c>
      <c r="C39" s="275">
        <f>'Input - General and Overview'!C9</f>
        <v>0</v>
      </c>
      <c r="D39" s="252"/>
      <c r="E39" s="251"/>
      <c r="F39" s="252"/>
      <c r="H39" s="53"/>
      <c r="I39" s="216"/>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row>
    <row r="40" spans="1:45" hidden="1" outlineLevel="1">
      <c r="H40" s="53"/>
      <c r="I40" s="216"/>
    </row>
    <row r="41" spans="1:45" hidden="1" outlineLevel="1">
      <c r="A41" s="3"/>
      <c r="B41" s="277" t="s">
        <v>307</v>
      </c>
      <c r="C41" s="278"/>
      <c r="D41" s="278"/>
      <c r="E41" s="278"/>
      <c r="F41" s="278"/>
      <c r="G41" s="278"/>
      <c r="H41" s="315">
        <f>SUM(H29,H32:H37)</f>
        <v>0</v>
      </c>
      <c r="I41" s="300"/>
      <c r="J41" s="279">
        <f>SUM(J32:J37,J29)</f>
        <v>0</v>
      </c>
      <c r="K41" s="279">
        <f t="shared" ref="K41:AS41" si="9">SUM(K32:K37,K29)</f>
        <v>0</v>
      </c>
      <c r="L41" s="279">
        <f t="shared" si="9"/>
        <v>0</v>
      </c>
      <c r="M41" s="279">
        <f t="shared" si="9"/>
        <v>0</v>
      </c>
      <c r="N41" s="279">
        <f t="shared" si="9"/>
        <v>0</v>
      </c>
      <c r="O41" s="279">
        <f t="shared" si="9"/>
        <v>0</v>
      </c>
      <c r="P41" s="279">
        <f t="shared" si="9"/>
        <v>0</v>
      </c>
      <c r="Q41" s="279">
        <f t="shared" si="9"/>
        <v>0</v>
      </c>
      <c r="R41" s="279">
        <f t="shared" si="9"/>
        <v>0</v>
      </c>
      <c r="S41" s="279">
        <f t="shared" si="9"/>
        <v>0</v>
      </c>
      <c r="T41" s="279">
        <f t="shared" si="9"/>
        <v>0</v>
      </c>
      <c r="U41" s="279">
        <f t="shared" si="9"/>
        <v>0</v>
      </c>
      <c r="V41" s="279">
        <f t="shared" si="9"/>
        <v>0</v>
      </c>
      <c r="W41" s="279">
        <f t="shared" si="9"/>
        <v>0</v>
      </c>
      <c r="X41" s="279">
        <f t="shared" si="9"/>
        <v>0</v>
      </c>
      <c r="Y41" s="279">
        <f t="shared" si="9"/>
        <v>0</v>
      </c>
      <c r="Z41" s="279">
        <f t="shared" si="9"/>
        <v>0</v>
      </c>
      <c r="AA41" s="279">
        <f t="shared" si="9"/>
        <v>0</v>
      </c>
      <c r="AB41" s="279">
        <f t="shared" si="9"/>
        <v>0</v>
      </c>
      <c r="AC41" s="279">
        <f t="shared" si="9"/>
        <v>0</v>
      </c>
      <c r="AD41" s="279">
        <f t="shared" si="9"/>
        <v>0</v>
      </c>
      <c r="AE41" s="279">
        <f t="shared" si="9"/>
        <v>0</v>
      </c>
      <c r="AF41" s="279">
        <f t="shared" si="9"/>
        <v>0</v>
      </c>
      <c r="AG41" s="279">
        <f t="shared" si="9"/>
        <v>0</v>
      </c>
      <c r="AH41" s="279">
        <f t="shared" si="9"/>
        <v>0</v>
      </c>
      <c r="AI41" s="279">
        <f t="shared" si="9"/>
        <v>0</v>
      </c>
      <c r="AJ41" s="279">
        <f t="shared" si="9"/>
        <v>0</v>
      </c>
      <c r="AK41" s="279">
        <f t="shared" si="9"/>
        <v>0</v>
      </c>
      <c r="AL41" s="279">
        <f t="shared" si="9"/>
        <v>0</v>
      </c>
      <c r="AM41" s="279">
        <f t="shared" si="9"/>
        <v>0</v>
      </c>
      <c r="AN41" s="279">
        <f t="shared" si="9"/>
        <v>0</v>
      </c>
      <c r="AO41" s="279">
        <f t="shared" si="9"/>
        <v>0</v>
      </c>
      <c r="AP41" s="279">
        <f t="shared" si="9"/>
        <v>0</v>
      </c>
      <c r="AQ41" s="279">
        <f t="shared" si="9"/>
        <v>0</v>
      </c>
      <c r="AR41" s="279">
        <f t="shared" si="9"/>
        <v>0</v>
      </c>
      <c r="AS41" s="279">
        <f t="shared" si="9"/>
        <v>0</v>
      </c>
    </row>
    <row r="42" spans="1:45" hidden="1" outlineLevel="1">
      <c r="A42" s="3"/>
      <c r="B42" s="277" t="str">
        <f>'Input - General and Overview'!B9</f>
        <v xml:space="preserve">Bulk tree purchase offer </v>
      </c>
      <c r="C42" s="278"/>
      <c r="D42" s="278"/>
      <c r="E42" s="278"/>
      <c r="F42" s="278"/>
      <c r="G42" s="278"/>
      <c r="H42" s="287">
        <f>SUM(J42:EJ42)</f>
        <v>0</v>
      </c>
      <c r="I42" s="300"/>
      <c r="J42" s="279">
        <f>-J41*$C$39</f>
        <v>0</v>
      </c>
      <c r="K42" s="279">
        <f t="shared" ref="K42:AS42" si="10">-K41*$C$39</f>
        <v>0</v>
      </c>
      <c r="L42" s="279">
        <f t="shared" si="10"/>
        <v>0</v>
      </c>
      <c r="M42" s="279">
        <f t="shared" si="10"/>
        <v>0</v>
      </c>
      <c r="N42" s="279">
        <f t="shared" si="10"/>
        <v>0</v>
      </c>
      <c r="O42" s="279">
        <f t="shared" si="10"/>
        <v>0</v>
      </c>
      <c r="P42" s="279">
        <f t="shared" si="10"/>
        <v>0</v>
      </c>
      <c r="Q42" s="279">
        <f t="shared" si="10"/>
        <v>0</v>
      </c>
      <c r="R42" s="279">
        <f t="shared" si="10"/>
        <v>0</v>
      </c>
      <c r="S42" s="279">
        <f t="shared" si="10"/>
        <v>0</v>
      </c>
      <c r="T42" s="279">
        <f t="shared" si="10"/>
        <v>0</v>
      </c>
      <c r="U42" s="279">
        <f t="shared" si="10"/>
        <v>0</v>
      </c>
      <c r="V42" s="279">
        <f t="shared" si="10"/>
        <v>0</v>
      </c>
      <c r="W42" s="279">
        <f t="shared" si="10"/>
        <v>0</v>
      </c>
      <c r="X42" s="279">
        <f t="shared" si="10"/>
        <v>0</v>
      </c>
      <c r="Y42" s="279">
        <f t="shared" si="10"/>
        <v>0</v>
      </c>
      <c r="Z42" s="279">
        <f t="shared" si="10"/>
        <v>0</v>
      </c>
      <c r="AA42" s="279">
        <f t="shared" si="10"/>
        <v>0</v>
      </c>
      <c r="AB42" s="279">
        <f t="shared" si="10"/>
        <v>0</v>
      </c>
      <c r="AC42" s="279">
        <f t="shared" si="10"/>
        <v>0</v>
      </c>
      <c r="AD42" s="279">
        <f t="shared" si="10"/>
        <v>0</v>
      </c>
      <c r="AE42" s="279">
        <f t="shared" si="10"/>
        <v>0</v>
      </c>
      <c r="AF42" s="279">
        <f t="shared" si="10"/>
        <v>0</v>
      </c>
      <c r="AG42" s="279">
        <f t="shared" si="10"/>
        <v>0</v>
      </c>
      <c r="AH42" s="279">
        <f t="shared" si="10"/>
        <v>0</v>
      </c>
      <c r="AI42" s="279">
        <f t="shared" si="10"/>
        <v>0</v>
      </c>
      <c r="AJ42" s="279">
        <f t="shared" si="10"/>
        <v>0</v>
      </c>
      <c r="AK42" s="279">
        <f t="shared" si="10"/>
        <v>0</v>
      </c>
      <c r="AL42" s="279">
        <f t="shared" si="10"/>
        <v>0</v>
      </c>
      <c r="AM42" s="279">
        <f t="shared" si="10"/>
        <v>0</v>
      </c>
      <c r="AN42" s="279">
        <f t="shared" si="10"/>
        <v>0</v>
      </c>
      <c r="AO42" s="279">
        <f t="shared" si="10"/>
        <v>0</v>
      </c>
      <c r="AP42" s="279">
        <f t="shared" si="10"/>
        <v>0</v>
      </c>
      <c r="AQ42" s="279">
        <f t="shared" si="10"/>
        <v>0</v>
      </c>
      <c r="AR42" s="279">
        <f t="shared" si="10"/>
        <v>0</v>
      </c>
      <c r="AS42" s="279">
        <f t="shared" si="10"/>
        <v>0</v>
      </c>
    </row>
    <row r="43" spans="1:45" hidden="1" outlineLevel="1">
      <c r="A43" s="15"/>
      <c r="B43" s="16" t="s">
        <v>360</v>
      </c>
      <c r="C43" s="12"/>
      <c r="D43" s="12"/>
      <c r="E43" s="12"/>
      <c r="F43" s="12"/>
      <c r="G43" s="12"/>
      <c r="H43" s="286">
        <f>SUM(H41:H42)</f>
        <v>0</v>
      </c>
      <c r="I43" s="299"/>
      <c r="J43" s="209">
        <f>J41+J42</f>
        <v>0</v>
      </c>
      <c r="K43" s="209">
        <f t="shared" ref="K43:AS43" si="11">K41-K42</f>
        <v>0</v>
      </c>
      <c r="L43" s="209">
        <f t="shared" si="11"/>
        <v>0</v>
      </c>
      <c r="M43" s="209">
        <f t="shared" si="11"/>
        <v>0</v>
      </c>
      <c r="N43" s="209">
        <f t="shared" si="11"/>
        <v>0</v>
      </c>
      <c r="O43" s="209">
        <f t="shared" si="11"/>
        <v>0</v>
      </c>
      <c r="P43" s="209">
        <f t="shared" si="11"/>
        <v>0</v>
      </c>
      <c r="Q43" s="209">
        <f t="shared" si="11"/>
        <v>0</v>
      </c>
      <c r="R43" s="209">
        <f t="shared" si="11"/>
        <v>0</v>
      </c>
      <c r="S43" s="209">
        <f t="shared" si="11"/>
        <v>0</v>
      </c>
      <c r="T43" s="209">
        <f t="shared" si="11"/>
        <v>0</v>
      </c>
      <c r="U43" s="209">
        <f t="shared" si="11"/>
        <v>0</v>
      </c>
      <c r="V43" s="209">
        <f t="shared" si="11"/>
        <v>0</v>
      </c>
      <c r="W43" s="209">
        <f t="shared" si="11"/>
        <v>0</v>
      </c>
      <c r="X43" s="209">
        <f t="shared" si="11"/>
        <v>0</v>
      </c>
      <c r="Y43" s="209">
        <f t="shared" si="11"/>
        <v>0</v>
      </c>
      <c r="Z43" s="209">
        <f t="shared" si="11"/>
        <v>0</v>
      </c>
      <c r="AA43" s="209">
        <f t="shared" si="11"/>
        <v>0</v>
      </c>
      <c r="AB43" s="209">
        <f t="shared" si="11"/>
        <v>0</v>
      </c>
      <c r="AC43" s="209">
        <f t="shared" si="11"/>
        <v>0</v>
      </c>
      <c r="AD43" s="209">
        <f t="shared" si="11"/>
        <v>0</v>
      </c>
      <c r="AE43" s="209">
        <f t="shared" si="11"/>
        <v>0</v>
      </c>
      <c r="AF43" s="209">
        <f t="shared" si="11"/>
        <v>0</v>
      </c>
      <c r="AG43" s="209">
        <f t="shared" si="11"/>
        <v>0</v>
      </c>
      <c r="AH43" s="209">
        <f t="shared" si="11"/>
        <v>0</v>
      </c>
      <c r="AI43" s="209">
        <f t="shared" si="11"/>
        <v>0</v>
      </c>
      <c r="AJ43" s="209">
        <f t="shared" si="11"/>
        <v>0</v>
      </c>
      <c r="AK43" s="209">
        <f t="shared" si="11"/>
        <v>0</v>
      </c>
      <c r="AL43" s="209">
        <f t="shared" si="11"/>
        <v>0</v>
      </c>
      <c r="AM43" s="209">
        <f t="shared" si="11"/>
        <v>0</v>
      </c>
      <c r="AN43" s="209">
        <f t="shared" si="11"/>
        <v>0</v>
      </c>
      <c r="AO43" s="209">
        <f t="shared" si="11"/>
        <v>0</v>
      </c>
      <c r="AP43" s="209">
        <f t="shared" si="11"/>
        <v>0</v>
      </c>
      <c r="AQ43" s="209">
        <f t="shared" si="11"/>
        <v>0</v>
      </c>
      <c r="AR43" s="209">
        <f t="shared" si="11"/>
        <v>0</v>
      </c>
      <c r="AS43" s="209">
        <f t="shared" si="11"/>
        <v>0</v>
      </c>
    </row>
    <row r="44" spans="1:45" collapsed="1">
      <c r="H44" s="17"/>
    </row>
    <row r="45" spans="1:45" ht="21">
      <c r="A45" s="239" t="s">
        <v>151</v>
      </c>
      <c r="B45" s="240"/>
      <c r="C45" s="240"/>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row>
    <row r="46" spans="1:45" hidden="1" outlineLevel="1">
      <c r="H46" s="288"/>
      <c r="I46" s="301"/>
    </row>
    <row r="47" spans="1:45" hidden="1" outlineLevel="1">
      <c r="C47" s="461" t="s">
        <v>345</v>
      </c>
      <c r="D47" s="461"/>
      <c r="H47" s="288"/>
      <c r="I47" s="301"/>
    </row>
    <row r="48" spans="1:45" ht="15.6" hidden="1" outlineLevel="1">
      <c r="A48" s="464" t="s">
        <v>348</v>
      </c>
      <c r="C48" s="270">
        <v>1</v>
      </c>
      <c r="D48" s="271">
        <v>1</v>
      </c>
      <c r="H48" s="288"/>
      <c r="I48" s="301"/>
    </row>
    <row r="49" spans="1:45" hidden="1" outlineLevel="1">
      <c r="A49" s="464"/>
      <c r="H49" s="288"/>
      <c r="I49" s="301"/>
    </row>
    <row r="50" spans="1:45" ht="14.45" hidden="1" customHeight="1" outlineLevel="1">
      <c r="A50" s="464"/>
      <c r="B50" s="103" t="s">
        <v>29</v>
      </c>
      <c r="C50" s="220" t="s">
        <v>349</v>
      </c>
      <c r="D50" s="220" t="s">
        <v>350</v>
      </c>
      <c r="H50" s="288"/>
      <c r="I50" s="301"/>
    </row>
    <row r="51" spans="1:45" ht="14.45" hidden="1" customHeight="1" outlineLevel="1">
      <c r="A51" s="464"/>
      <c r="B51" s="9" t="s">
        <v>351</v>
      </c>
      <c r="C51" s="273">
        <f>IF(AND($C$3=$C$4,C5=BulkNumber,C7=SOFT_LANDSCAPE),'Option 3 - Cost Data LookUp'!H60,0)</f>
        <v>0</v>
      </c>
      <c r="D51" s="273">
        <f>IF(AND(C3=C4,C5=BulkNumber,C7=HARD_LANDSCAPE),'Option 3 - Cost Data LookUp'!I69,0)</f>
        <v>0</v>
      </c>
      <c r="H51" s="343">
        <f>SUM(J51:EJ51)</f>
        <v>0</v>
      </c>
      <c r="I51" s="301"/>
      <c r="J51" s="342">
        <f>-IF(AND(J$2&gt;=$C$48,J$2&lt;=$D$48),SUM($C$51:$D$51)*$C$6*J$4,0)</f>
        <v>0</v>
      </c>
      <c r="K51" s="342">
        <f t="shared" ref="K51:AS51" si="12">-IF(AND(K$2&gt;=$C$48,K$2&lt;=$D$48),SUM($C$51:$D$51)*$C$6*K$4,0)</f>
        <v>0</v>
      </c>
      <c r="L51" s="342">
        <f t="shared" si="12"/>
        <v>0</v>
      </c>
      <c r="M51" s="342">
        <f t="shared" si="12"/>
        <v>0</v>
      </c>
      <c r="N51" s="342">
        <f t="shared" si="12"/>
        <v>0</v>
      </c>
      <c r="O51" s="342">
        <f t="shared" si="12"/>
        <v>0</v>
      </c>
      <c r="P51" s="342">
        <f t="shared" si="12"/>
        <v>0</v>
      </c>
      <c r="Q51" s="342">
        <f t="shared" si="12"/>
        <v>0</v>
      </c>
      <c r="R51" s="342">
        <f t="shared" si="12"/>
        <v>0</v>
      </c>
      <c r="S51" s="342">
        <f t="shared" si="12"/>
        <v>0</v>
      </c>
      <c r="T51" s="342">
        <f t="shared" si="12"/>
        <v>0</v>
      </c>
      <c r="U51" s="342">
        <f t="shared" si="12"/>
        <v>0</v>
      </c>
      <c r="V51" s="342">
        <f t="shared" si="12"/>
        <v>0</v>
      </c>
      <c r="W51" s="342">
        <f t="shared" si="12"/>
        <v>0</v>
      </c>
      <c r="X51" s="342">
        <f t="shared" si="12"/>
        <v>0</v>
      </c>
      <c r="Y51" s="342">
        <f t="shared" si="12"/>
        <v>0</v>
      </c>
      <c r="Z51" s="342">
        <f t="shared" si="12"/>
        <v>0</v>
      </c>
      <c r="AA51" s="342">
        <f t="shared" si="12"/>
        <v>0</v>
      </c>
      <c r="AB51" s="342">
        <f t="shared" si="12"/>
        <v>0</v>
      </c>
      <c r="AC51" s="342">
        <f t="shared" si="12"/>
        <v>0</v>
      </c>
      <c r="AD51" s="342">
        <f t="shared" si="12"/>
        <v>0</v>
      </c>
      <c r="AE51" s="342">
        <f t="shared" si="12"/>
        <v>0</v>
      </c>
      <c r="AF51" s="342">
        <f t="shared" si="12"/>
        <v>0</v>
      </c>
      <c r="AG51" s="342">
        <f t="shared" si="12"/>
        <v>0</v>
      </c>
      <c r="AH51" s="342">
        <f t="shared" si="12"/>
        <v>0</v>
      </c>
      <c r="AI51" s="342">
        <f t="shared" si="12"/>
        <v>0</v>
      </c>
      <c r="AJ51" s="342">
        <f t="shared" si="12"/>
        <v>0</v>
      </c>
      <c r="AK51" s="342">
        <f t="shared" si="12"/>
        <v>0</v>
      </c>
      <c r="AL51" s="342">
        <f t="shared" si="12"/>
        <v>0</v>
      </c>
      <c r="AM51" s="342">
        <f t="shared" si="12"/>
        <v>0</v>
      </c>
      <c r="AN51" s="342">
        <f t="shared" si="12"/>
        <v>0</v>
      </c>
      <c r="AO51" s="342">
        <f t="shared" si="12"/>
        <v>0</v>
      </c>
      <c r="AP51" s="342">
        <f t="shared" si="12"/>
        <v>0</v>
      </c>
      <c r="AQ51" s="342">
        <f t="shared" si="12"/>
        <v>0</v>
      </c>
      <c r="AR51" s="342">
        <f t="shared" si="12"/>
        <v>0</v>
      </c>
      <c r="AS51" s="342">
        <f t="shared" si="12"/>
        <v>0</v>
      </c>
    </row>
    <row r="52" spans="1:45" hidden="1" outlineLevel="1">
      <c r="H52" s="288"/>
      <c r="I52" s="301"/>
    </row>
    <row r="53" spans="1:45" hidden="1" outlineLevel="1">
      <c r="A53" s="463" t="s">
        <v>352</v>
      </c>
      <c r="B53" s="103" t="s">
        <v>35</v>
      </c>
      <c r="C53" s="220" t="s">
        <v>30</v>
      </c>
      <c r="D53" s="40" t="s">
        <v>174</v>
      </c>
      <c r="E53" s="220" t="s">
        <v>353</v>
      </c>
      <c r="F53" s="40" t="s">
        <v>174</v>
      </c>
      <c r="H53" s="288"/>
      <c r="I53" s="301"/>
    </row>
    <row r="54" spans="1:45" ht="15.6" hidden="1" outlineLevel="1">
      <c r="A54" s="463"/>
      <c r="B54" s="63" t="s">
        <v>354</v>
      </c>
      <c r="C54" s="241">
        <f>IF($C$5=DetailedList,COUNTIFS('Inputs - List of Trees'!$E$9:$E$108,B54,'Inputs - List of Trees'!$F$9:$F$108,$C$53),0)</f>
        <v>0</v>
      </c>
      <c r="D54" s="272">
        <f>IF(AND($C$3=$C$4,$C54&gt;0),(INDEX('Option 3 - Cost Data LookUp'!$H$54:$H$59, MATCH('Option 3 - Cashflow'!$B54,'Option 3 - Cost Data LookUp'!$D$54:$D$59, 0))),0)</f>
        <v>0</v>
      </c>
      <c r="E54" s="241">
        <f>IF($C$5=DetailedList,COUNTIFS('Inputs - List of Trees'!$E$9:$E$108,$B54,'Inputs - List of Trees'!$F$9:$F$108,$E$31),0)</f>
        <v>0</v>
      </c>
      <c r="F54" s="272">
        <f>IF(AND($C$3=$C$4,E54&gt;0),(INDEX('Option 3 - Cost Data LookUp'!$H$63:$H$68, MATCH('Option 3 - Cashflow'!$B54,'Option 3 - Cost Data LookUp'!$D$63:$D$68, 0))),0)</f>
        <v>0</v>
      </c>
      <c r="H54" s="343">
        <f t="shared" ref="H54:H59" si="13">SUM(J54:EJ54)</f>
        <v>0</v>
      </c>
      <c r="I54" s="216"/>
      <c r="J54" s="342">
        <f t="shared" ref="J54:Y59" si="14">-IF(AND(J$2&gt;=$C$48,J$2&lt;=$D$48),SUM(($C54*$D54)+($E54*$F54))*J$4,0)</f>
        <v>0</v>
      </c>
      <c r="K54" s="342">
        <f t="shared" si="14"/>
        <v>0</v>
      </c>
      <c r="L54" s="342">
        <f t="shared" si="14"/>
        <v>0</v>
      </c>
      <c r="M54" s="342">
        <f t="shared" si="14"/>
        <v>0</v>
      </c>
      <c r="N54" s="342">
        <f t="shared" si="14"/>
        <v>0</v>
      </c>
      <c r="O54" s="342">
        <f t="shared" si="14"/>
        <v>0</v>
      </c>
      <c r="P54" s="342">
        <f t="shared" si="14"/>
        <v>0</v>
      </c>
      <c r="Q54" s="342">
        <f t="shared" si="14"/>
        <v>0</v>
      </c>
      <c r="R54" s="342">
        <f t="shared" si="14"/>
        <v>0</v>
      </c>
      <c r="S54" s="342">
        <f t="shared" si="14"/>
        <v>0</v>
      </c>
      <c r="T54" s="342">
        <f t="shared" si="14"/>
        <v>0</v>
      </c>
      <c r="U54" s="342">
        <f t="shared" si="14"/>
        <v>0</v>
      </c>
      <c r="V54" s="342">
        <f t="shared" si="14"/>
        <v>0</v>
      </c>
      <c r="W54" s="342">
        <f t="shared" si="14"/>
        <v>0</v>
      </c>
      <c r="X54" s="342">
        <f t="shared" si="14"/>
        <v>0</v>
      </c>
      <c r="Y54" s="342">
        <f t="shared" si="14"/>
        <v>0</v>
      </c>
      <c r="Z54" s="342">
        <f t="shared" ref="K54:AS59" si="15">-IF(AND(Z$2&gt;=$C$48,Z$2&lt;=$D$48),SUM(($C54*$D54)+($E54*$F54))*Z$4,0)</f>
        <v>0</v>
      </c>
      <c r="AA54" s="342">
        <f t="shared" si="15"/>
        <v>0</v>
      </c>
      <c r="AB54" s="342">
        <f t="shared" si="15"/>
        <v>0</v>
      </c>
      <c r="AC54" s="342">
        <f t="shared" si="15"/>
        <v>0</v>
      </c>
      <c r="AD54" s="342">
        <f t="shared" si="15"/>
        <v>0</v>
      </c>
      <c r="AE54" s="342">
        <f t="shared" si="15"/>
        <v>0</v>
      </c>
      <c r="AF54" s="342">
        <f t="shared" si="15"/>
        <v>0</v>
      </c>
      <c r="AG54" s="342">
        <f t="shared" si="15"/>
        <v>0</v>
      </c>
      <c r="AH54" s="342">
        <f t="shared" si="15"/>
        <v>0</v>
      </c>
      <c r="AI54" s="342">
        <f t="shared" si="15"/>
        <v>0</v>
      </c>
      <c r="AJ54" s="342">
        <f t="shared" si="15"/>
        <v>0</v>
      </c>
      <c r="AK54" s="342">
        <f t="shared" si="15"/>
        <v>0</v>
      </c>
      <c r="AL54" s="342">
        <f t="shared" si="15"/>
        <v>0</v>
      </c>
      <c r="AM54" s="342">
        <f t="shared" si="15"/>
        <v>0</v>
      </c>
      <c r="AN54" s="342">
        <f t="shared" si="15"/>
        <v>0</v>
      </c>
      <c r="AO54" s="342">
        <f t="shared" si="15"/>
        <v>0</v>
      </c>
      <c r="AP54" s="342">
        <f t="shared" si="15"/>
        <v>0</v>
      </c>
      <c r="AQ54" s="342">
        <f t="shared" si="15"/>
        <v>0</v>
      </c>
      <c r="AR54" s="342">
        <f t="shared" si="15"/>
        <v>0</v>
      </c>
      <c r="AS54" s="342">
        <f t="shared" si="15"/>
        <v>0</v>
      </c>
    </row>
    <row r="55" spans="1:45" ht="15.6" hidden="1" outlineLevel="1">
      <c r="A55" s="463"/>
      <c r="B55" s="63" t="s">
        <v>355</v>
      </c>
      <c r="C55" s="241">
        <f>IF($C$5=DetailedList,COUNTIFS('Inputs - List of Trees'!$E$9:$E$108,B55,'Inputs - List of Trees'!$F$9:$F$108,$C$53),0)</f>
        <v>0</v>
      </c>
      <c r="D55" s="272">
        <f>IF(AND($C$3=$C$4,$C55&gt;0),(INDEX('Option 3 - Cost Data LookUp'!$H$54:$H$59, MATCH('Option 3 - Cashflow'!$B55,'Option 3 - Cost Data LookUp'!$D$54:$D$59, 0))),0)</f>
        <v>0</v>
      </c>
      <c r="E55" s="241">
        <f>IF($C$5=DetailedList,COUNTIFS('Inputs - List of Trees'!$E$9:$E$108,$B55,'Inputs - List of Trees'!$F$9:$F$108,$E$31),0)</f>
        <v>0</v>
      </c>
      <c r="F55" s="272">
        <f>IF(AND($C$3=$C$4,E55&gt;0),(INDEX('Option 3 - Cost Data LookUp'!$H$63:$H$68, MATCH('Option 3 - Cashflow'!$B55,'Option 3 - Cost Data LookUp'!$D$63:$D$68, 0))),0)</f>
        <v>0</v>
      </c>
      <c r="H55" s="343">
        <f t="shared" si="13"/>
        <v>0</v>
      </c>
      <c r="I55" s="216"/>
      <c r="J55" s="342">
        <f t="shared" si="14"/>
        <v>0</v>
      </c>
      <c r="K55" s="342">
        <f t="shared" si="15"/>
        <v>0</v>
      </c>
      <c r="L55" s="342">
        <f t="shared" si="15"/>
        <v>0</v>
      </c>
      <c r="M55" s="342">
        <f t="shared" si="15"/>
        <v>0</v>
      </c>
      <c r="N55" s="342">
        <f t="shared" si="15"/>
        <v>0</v>
      </c>
      <c r="O55" s="342">
        <f t="shared" si="15"/>
        <v>0</v>
      </c>
      <c r="P55" s="342">
        <f t="shared" si="15"/>
        <v>0</v>
      </c>
      <c r="Q55" s="342">
        <f t="shared" si="15"/>
        <v>0</v>
      </c>
      <c r="R55" s="342">
        <f t="shared" si="15"/>
        <v>0</v>
      </c>
      <c r="S55" s="342">
        <f t="shared" si="15"/>
        <v>0</v>
      </c>
      <c r="T55" s="342">
        <f t="shared" si="15"/>
        <v>0</v>
      </c>
      <c r="U55" s="342">
        <f t="shared" si="15"/>
        <v>0</v>
      </c>
      <c r="V55" s="342">
        <f t="shared" si="15"/>
        <v>0</v>
      </c>
      <c r="W55" s="342">
        <f t="shared" si="15"/>
        <v>0</v>
      </c>
      <c r="X55" s="342">
        <f t="shared" si="15"/>
        <v>0</v>
      </c>
      <c r="Y55" s="342">
        <f t="shared" si="15"/>
        <v>0</v>
      </c>
      <c r="Z55" s="342">
        <f t="shared" si="15"/>
        <v>0</v>
      </c>
      <c r="AA55" s="342">
        <f t="shared" si="15"/>
        <v>0</v>
      </c>
      <c r="AB55" s="342">
        <f t="shared" si="15"/>
        <v>0</v>
      </c>
      <c r="AC55" s="342">
        <f t="shared" si="15"/>
        <v>0</v>
      </c>
      <c r="AD55" s="342">
        <f t="shared" si="15"/>
        <v>0</v>
      </c>
      <c r="AE55" s="342">
        <f t="shared" si="15"/>
        <v>0</v>
      </c>
      <c r="AF55" s="342">
        <f t="shared" si="15"/>
        <v>0</v>
      </c>
      <c r="AG55" s="342">
        <f t="shared" si="15"/>
        <v>0</v>
      </c>
      <c r="AH55" s="342">
        <f t="shared" si="15"/>
        <v>0</v>
      </c>
      <c r="AI55" s="342">
        <f t="shared" si="15"/>
        <v>0</v>
      </c>
      <c r="AJ55" s="342">
        <f t="shared" si="15"/>
        <v>0</v>
      </c>
      <c r="AK55" s="342">
        <f t="shared" si="15"/>
        <v>0</v>
      </c>
      <c r="AL55" s="342">
        <f t="shared" si="15"/>
        <v>0</v>
      </c>
      <c r="AM55" s="342">
        <f t="shared" si="15"/>
        <v>0</v>
      </c>
      <c r="AN55" s="342">
        <f t="shared" si="15"/>
        <v>0</v>
      </c>
      <c r="AO55" s="342">
        <f t="shared" si="15"/>
        <v>0</v>
      </c>
      <c r="AP55" s="342">
        <f t="shared" si="15"/>
        <v>0</v>
      </c>
      <c r="AQ55" s="342">
        <f t="shared" si="15"/>
        <v>0</v>
      </c>
      <c r="AR55" s="342">
        <f t="shared" si="15"/>
        <v>0</v>
      </c>
      <c r="AS55" s="342">
        <f t="shared" si="15"/>
        <v>0</v>
      </c>
    </row>
    <row r="56" spans="1:45" ht="15.6" hidden="1" customHeight="1" outlineLevel="1">
      <c r="A56" s="463"/>
      <c r="B56" s="63" t="s">
        <v>356</v>
      </c>
      <c r="C56" s="241">
        <f>IF($C$5=DetailedList,COUNTIFS('Inputs - List of Trees'!$E$9:$E$108,B56,'Inputs - List of Trees'!$F$9:$F$108,$C$53),0)</f>
        <v>0</v>
      </c>
      <c r="D56" s="272">
        <f>IF(AND($C$3=$C$4,$C56&gt;0),(INDEX('Option 3 - Cost Data LookUp'!$H$54:$H$59, MATCH('Option 3 - Cashflow'!$B56,'Option 3 - Cost Data LookUp'!$D$54:$D$59, 0))),0)</f>
        <v>0</v>
      </c>
      <c r="E56" s="241">
        <f>IF($C$5=DetailedList,COUNTIFS('Inputs - List of Trees'!$E$9:$E$108,$B56,'Inputs - List of Trees'!$F$9:$F$108,$E$31),0)</f>
        <v>0</v>
      </c>
      <c r="F56" s="272">
        <f>IF(AND($C$3=$C$4,E56&gt;0),(INDEX('Option 3 - Cost Data LookUp'!$H$63:$H$68, MATCH('Option 3 - Cashflow'!$B56,'Option 3 - Cost Data LookUp'!$D$63:$D$68, 0))),0)</f>
        <v>0</v>
      </c>
      <c r="H56" s="343">
        <f t="shared" si="13"/>
        <v>0</v>
      </c>
      <c r="I56" s="216"/>
      <c r="J56" s="342">
        <f t="shared" si="14"/>
        <v>0</v>
      </c>
      <c r="K56" s="342">
        <f t="shared" si="15"/>
        <v>0</v>
      </c>
      <c r="L56" s="342">
        <f t="shared" si="15"/>
        <v>0</v>
      </c>
      <c r="M56" s="342">
        <f t="shared" si="15"/>
        <v>0</v>
      </c>
      <c r="N56" s="342">
        <f t="shared" si="15"/>
        <v>0</v>
      </c>
      <c r="O56" s="342">
        <f t="shared" si="15"/>
        <v>0</v>
      </c>
      <c r="P56" s="342">
        <f t="shared" si="15"/>
        <v>0</v>
      </c>
      <c r="Q56" s="342">
        <f t="shared" si="15"/>
        <v>0</v>
      </c>
      <c r="R56" s="342">
        <f t="shared" si="15"/>
        <v>0</v>
      </c>
      <c r="S56" s="342">
        <f t="shared" si="15"/>
        <v>0</v>
      </c>
      <c r="T56" s="342">
        <f t="shared" si="15"/>
        <v>0</v>
      </c>
      <c r="U56" s="342">
        <f t="shared" si="15"/>
        <v>0</v>
      </c>
      <c r="V56" s="342">
        <f t="shared" si="15"/>
        <v>0</v>
      </c>
      <c r="W56" s="342">
        <f t="shared" si="15"/>
        <v>0</v>
      </c>
      <c r="X56" s="342">
        <f t="shared" si="15"/>
        <v>0</v>
      </c>
      <c r="Y56" s="342">
        <f t="shared" si="15"/>
        <v>0</v>
      </c>
      <c r="Z56" s="342">
        <f t="shared" si="15"/>
        <v>0</v>
      </c>
      <c r="AA56" s="342">
        <f t="shared" si="15"/>
        <v>0</v>
      </c>
      <c r="AB56" s="342">
        <f t="shared" si="15"/>
        <v>0</v>
      </c>
      <c r="AC56" s="342">
        <f t="shared" si="15"/>
        <v>0</v>
      </c>
      <c r="AD56" s="342">
        <f t="shared" si="15"/>
        <v>0</v>
      </c>
      <c r="AE56" s="342">
        <f t="shared" si="15"/>
        <v>0</v>
      </c>
      <c r="AF56" s="342">
        <f t="shared" si="15"/>
        <v>0</v>
      </c>
      <c r="AG56" s="342">
        <f t="shared" si="15"/>
        <v>0</v>
      </c>
      <c r="AH56" s="342">
        <f t="shared" si="15"/>
        <v>0</v>
      </c>
      <c r="AI56" s="342">
        <f t="shared" si="15"/>
        <v>0</v>
      </c>
      <c r="AJ56" s="342">
        <f t="shared" si="15"/>
        <v>0</v>
      </c>
      <c r="AK56" s="342">
        <f t="shared" si="15"/>
        <v>0</v>
      </c>
      <c r="AL56" s="342">
        <f t="shared" si="15"/>
        <v>0</v>
      </c>
      <c r="AM56" s="342">
        <f t="shared" si="15"/>
        <v>0</v>
      </c>
      <c r="AN56" s="342">
        <f t="shared" si="15"/>
        <v>0</v>
      </c>
      <c r="AO56" s="342">
        <f t="shared" si="15"/>
        <v>0</v>
      </c>
      <c r="AP56" s="342">
        <f t="shared" si="15"/>
        <v>0</v>
      </c>
      <c r="AQ56" s="342">
        <f t="shared" si="15"/>
        <v>0</v>
      </c>
      <c r="AR56" s="342">
        <f t="shared" si="15"/>
        <v>0</v>
      </c>
      <c r="AS56" s="342">
        <f t="shared" si="15"/>
        <v>0</v>
      </c>
    </row>
    <row r="57" spans="1:45" ht="15.6" hidden="1" outlineLevel="1">
      <c r="A57" s="463"/>
      <c r="B57" s="63" t="s">
        <v>357</v>
      </c>
      <c r="C57" s="241">
        <f>IF($C$5=DetailedList,COUNTIFS('Inputs - List of Trees'!$E$9:$E$108,B57,'Inputs - List of Trees'!$F$9:$F$108,$C$53),0)</f>
        <v>0</v>
      </c>
      <c r="D57" s="272">
        <f>IF(AND($C$3=$C$4,$C57&gt;0),(INDEX('Option 3 - Cost Data LookUp'!$H$54:$H$59, MATCH('Option 3 - Cashflow'!$B57,'Option 3 - Cost Data LookUp'!$D$54:$D$59, 0))),0)</f>
        <v>0</v>
      </c>
      <c r="E57" s="241">
        <f>IF($C$5=DetailedList,COUNTIFS('Inputs - List of Trees'!$E$9:$E$108,$B57,'Inputs - List of Trees'!$F$9:$F$108,$E$31),0)</f>
        <v>0</v>
      </c>
      <c r="F57" s="272">
        <f>IF(AND($C$3=$C$4,E57&gt;0),(INDEX('Option 3 - Cost Data LookUp'!$H$63:$H$68, MATCH('Option 3 - Cashflow'!$B57,'Option 3 - Cost Data LookUp'!$D$63:$D$68, 0))),0)</f>
        <v>0</v>
      </c>
      <c r="H57" s="343">
        <f t="shared" si="13"/>
        <v>0</v>
      </c>
      <c r="I57" s="216"/>
      <c r="J57" s="342">
        <f t="shared" si="14"/>
        <v>0</v>
      </c>
      <c r="K57" s="342">
        <f t="shared" si="15"/>
        <v>0</v>
      </c>
      <c r="L57" s="342">
        <f t="shared" si="15"/>
        <v>0</v>
      </c>
      <c r="M57" s="342">
        <f t="shared" si="15"/>
        <v>0</v>
      </c>
      <c r="N57" s="342">
        <f t="shared" si="15"/>
        <v>0</v>
      </c>
      <c r="O57" s="342">
        <f t="shared" si="15"/>
        <v>0</v>
      </c>
      <c r="P57" s="342">
        <f t="shared" si="15"/>
        <v>0</v>
      </c>
      <c r="Q57" s="342">
        <f t="shared" si="15"/>
        <v>0</v>
      </c>
      <c r="R57" s="342">
        <f t="shared" si="15"/>
        <v>0</v>
      </c>
      <c r="S57" s="342">
        <f t="shared" si="15"/>
        <v>0</v>
      </c>
      <c r="T57" s="342">
        <f t="shared" si="15"/>
        <v>0</v>
      </c>
      <c r="U57" s="342">
        <f t="shared" si="15"/>
        <v>0</v>
      </c>
      <c r="V57" s="342">
        <f t="shared" si="15"/>
        <v>0</v>
      </c>
      <c r="W57" s="342">
        <f t="shared" si="15"/>
        <v>0</v>
      </c>
      <c r="X57" s="342">
        <f t="shared" si="15"/>
        <v>0</v>
      </c>
      <c r="Y57" s="342">
        <f t="shared" si="15"/>
        <v>0</v>
      </c>
      <c r="Z57" s="342">
        <f t="shared" si="15"/>
        <v>0</v>
      </c>
      <c r="AA57" s="342">
        <f t="shared" si="15"/>
        <v>0</v>
      </c>
      <c r="AB57" s="342">
        <f t="shared" si="15"/>
        <v>0</v>
      </c>
      <c r="AC57" s="342">
        <f t="shared" si="15"/>
        <v>0</v>
      </c>
      <c r="AD57" s="342">
        <f t="shared" si="15"/>
        <v>0</v>
      </c>
      <c r="AE57" s="342">
        <f t="shared" si="15"/>
        <v>0</v>
      </c>
      <c r="AF57" s="342">
        <f t="shared" si="15"/>
        <v>0</v>
      </c>
      <c r="AG57" s="342">
        <f t="shared" si="15"/>
        <v>0</v>
      </c>
      <c r="AH57" s="342">
        <f t="shared" si="15"/>
        <v>0</v>
      </c>
      <c r="AI57" s="342">
        <f t="shared" si="15"/>
        <v>0</v>
      </c>
      <c r="AJ57" s="342">
        <f t="shared" si="15"/>
        <v>0</v>
      </c>
      <c r="AK57" s="342">
        <f t="shared" si="15"/>
        <v>0</v>
      </c>
      <c r="AL57" s="342">
        <f t="shared" si="15"/>
        <v>0</v>
      </c>
      <c r="AM57" s="342">
        <f t="shared" si="15"/>
        <v>0</v>
      </c>
      <c r="AN57" s="342">
        <f t="shared" si="15"/>
        <v>0</v>
      </c>
      <c r="AO57" s="342">
        <f t="shared" si="15"/>
        <v>0</v>
      </c>
      <c r="AP57" s="342">
        <f t="shared" si="15"/>
        <v>0</v>
      </c>
      <c r="AQ57" s="342">
        <f t="shared" si="15"/>
        <v>0</v>
      </c>
      <c r="AR57" s="342">
        <f t="shared" si="15"/>
        <v>0</v>
      </c>
      <c r="AS57" s="342">
        <f t="shared" si="15"/>
        <v>0</v>
      </c>
    </row>
    <row r="58" spans="1:45" ht="15.6" hidden="1" outlineLevel="1">
      <c r="A58" s="463"/>
      <c r="B58" s="63" t="s">
        <v>358</v>
      </c>
      <c r="C58" s="241">
        <f>IF($C$5=DetailedList,COUNTIFS('Inputs - List of Trees'!$E$9:$E$108,B58,'Inputs - List of Trees'!$F$9:$F$108,$C$53),0)</f>
        <v>0</v>
      </c>
      <c r="D58" s="272">
        <f>IF(AND($C$3=$C$4,$C58&gt;0),(INDEX('Option 3 - Cost Data LookUp'!$H$54:$H$59, MATCH('Option 3 - Cashflow'!$B58,'Option 3 - Cost Data LookUp'!$D$54:$D$59, 0))),0)</f>
        <v>0</v>
      </c>
      <c r="E58" s="241">
        <f>IF($C$5=DetailedList,COUNTIFS('Inputs - List of Trees'!$E$9:$E$108,$B58,'Inputs - List of Trees'!$F$9:$F$108,$E$31),0)</f>
        <v>0</v>
      </c>
      <c r="F58" s="272">
        <f>IF(AND($C$3=$C$4,E58&gt;0),(INDEX('Option 3 - Cost Data LookUp'!$H$63:$H$68, MATCH('Option 3 - Cashflow'!$B58,'Option 3 - Cost Data LookUp'!$D$63:$D$68, 0))),0)</f>
        <v>0</v>
      </c>
      <c r="H58" s="343">
        <f t="shared" si="13"/>
        <v>0</v>
      </c>
      <c r="I58" s="216"/>
      <c r="J58" s="342">
        <f t="shared" si="14"/>
        <v>0</v>
      </c>
      <c r="K58" s="342">
        <f t="shared" si="15"/>
        <v>0</v>
      </c>
      <c r="L58" s="342">
        <f t="shared" si="15"/>
        <v>0</v>
      </c>
      <c r="M58" s="342">
        <f t="shared" si="15"/>
        <v>0</v>
      </c>
      <c r="N58" s="342">
        <f t="shared" si="15"/>
        <v>0</v>
      </c>
      <c r="O58" s="342">
        <f t="shared" si="15"/>
        <v>0</v>
      </c>
      <c r="P58" s="342">
        <f t="shared" si="15"/>
        <v>0</v>
      </c>
      <c r="Q58" s="342">
        <f t="shared" si="15"/>
        <v>0</v>
      </c>
      <c r="R58" s="342">
        <f t="shared" si="15"/>
        <v>0</v>
      </c>
      <c r="S58" s="342">
        <f t="shared" si="15"/>
        <v>0</v>
      </c>
      <c r="T58" s="342">
        <f t="shared" si="15"/>
        <v>0</v>
      </c>
      <c r="U58" s="342">
        <f t="shared" si="15"/>
        <v>0</v>
      </c>
      <c r="V58" s="342">
        <f t="shared" si="15"/>
        <v>0</v>
      </c>
      <c r="W58" s="342">
        <f t="shared" si="15"/>
        <v>0</v>
      </c>
      <c r="X58" s="342">
        <f t="shared" si="15"/>
        <v>0</v>
      </c>
      <c r="Y58" s="342">
        <f t="shared" si="15"/>
        <v>0</v>
      </c>
      <c r="Z58" s="342">
        <f t="shared" si="15"/>
        <v>0</v>
      </c>
      <c r="AA58" s="342">
        <f t="shared" si="15"/>
        <v>0</v>
      </c>
      <c r="AB58" s="342">
        <f t="shared" si="15"/>
        <v>0</v>
      </c>
      <c r="AC58" s="342">
        <f t="shared" si="15"/>
        <v>0</v>
      </c>
      <c r="AD58" s="342">
        <f t="shared" si="15"/>
        <v>0</v>
      </c>
      <c r="AE58" s="342">
        <f t="shared" si="15"/>
        <v>0</v>
      </c>
      <c r="AF58" s="342">
        <f t="shared" si="15"/>
        <v>0</v>
      </c>
      <c r="AG58" s="342">
        <f t="shared" si="15"/>
        <v>0</v>
      </c>
      <c r="AH58" s="342">
        <f t="shared" si="15"/>
        <v>0</v>
      </c>
      <c r="AI58" s="342">
        <f t="shared" si="15"/>
        <v>0</v>
      </c>
      <c r="AJ58" s="342">
        <f t="shared" si="15"/>
        <v>0</v>
      </c>
      <c r="AK58" s="342">
        <f t="shared" si="15"/>
        <v>0</v>
      </c>
      <c r="AL58" s="342">
        <f t="shared" si="15"/>
        <v>0</v>
      </c>
      <c r="AM58" s="342">
        <f t="shared" si="15"/>
        <v>0</v>
      </c>
      <c r="AN58" s="342">
        <f t="shared" si="15"/>
        <v>0</v>
      </c>
      <c r="AO58" s="342">
        <f t="shared" si="15"/>
        <v>0</v>
      </c>
      <c r="AP58" s="342">
        <f t="shared" si="15"/>
        <v>0</v>
      </c>
      <c r="AQ58" s="342">
        <f t="shared" si="15"/>
        <v>0</v>
      </c>
      <c r="AR58" s="342">
        <f t="shared" si="15"/>
        <v>0</v>
      </c>
      <c r="AS58" s="342">
        <f t="shared" si="15"/>
        <v>0</v>
      </c>
    </row>
    <row r="59" spans="1:45" ht="15.6" hidden="1" outlineLevel="1">
      <c r="A59" s="463"/>
      <c r="B59" s="63" t="s">
        <v>359</v>
      </c>
      <c r="C59" s="241">
        <f>IF($C$5=DetailedList,COUNTIFS('Inputs - List of Trees'!$E$9:$E$108,B59,'Inputs - List of Trees'!$F$9:$F$108,$C$53),0)</f>
        <v>0</v>
      </c>
      <c r="D59" s="272">
        <f>IF(AND($C$3=$C$4,$C59&gt;0),(INDEX('Option 3 - Cost Data LookUp'!$H$54:$H$59, MATCH('Option 3 - Cashflow'!$B59,'Option 3 - Cost Data LookUp'!$D$54:$D$59, 0))),0)</f>
        <v>0</v>
      </c>
      <c r="E59" s="241">
        <f>IF($C$5=DetailedList,COUNTIFS('Inputs - List of Trees'!$E$9:$E$108,$B59,'Inputs - List of Trees'!$F$9:$F$108,$E$31),0)</f>
        <v>0</v>
      </c>
      <c r="F59" s="272">
        <f>IF(AND($C$3=$C$4,E59&gt;0),(INDEX('Option 3 - Cost Data LookUp'!$H$63:$H$68, MATCH('Option 3 - Cashflow'!$B59,'Option 3 - Cost Data LookUp'!$D$63:$D$68, 0))),0)</f>
        <v>0</v>
      </c>
      <c r="H59" s="343">
        <f t="shared" si="13"/>
        <v>0</v>
      </c>
      <c r="I59" s="216"/>
      <c r="J59" s="342">
        <f t="shared" si="14"/>
        <v>0</v>
      </c>
      <c r="K59" s="342">
        <f t="shared" si="15"/>
        <v>0</v>
      </c>
      <c r="L59" s="342">
        <f t="shared" si="15"/>
        <v>0</v>
      </c>
      <c r="M59" s="342">
        <f t="shared" si="15"/>
        <v>0</v>
      </c>
      <c r="N59" s="342">
        <f t="shared" si="15"/>
        <v>0</v>
      </c>
      <c r="O59" s="342">
        <f t="shared" si="15"/>
        <v>0</v>
      </c>
      <c r="P59" s="342">
        <f t="shared" si="15"/>
        <v>0</v>
      </c>
      <c r="Q59" s="342">
        <f t="shared" si="15"/>
        <v>0</v>
      </c>
      <c r="R59" s="342">
        <f t="shared" si="15"/>
        <v>0</v>
      </c>
      <c r="S59" s="342">
        <f t="shared" si="15"/>
        <v>0</v>
      </c>
      <c r="T59" s="342">
        <f t="shared" si="15"/>
        <v>0</v>
      </c>
      <c r="U59" s="342">
        <f t="shared" si="15"/>
        <v>0</v>
      </c>
      <c r="V59" s="342">
        <f t="shared" si="15"/>
        <v>0</v>
      </c>
      <c r="W59" s="342">
        <f t="shared" si="15"/>
        <v>0</v>
      </c>
      <c r="X59" s="342">
        <f t="shared" si="15"/>
        <v>0</v>
      </c>
      <c r="Y59" s="342">
        <f t="shared" si="15"/>
        <v>0</v>
      </c>
      <c r="Z59" s="342">
        <f t="shared" si="15"/>
        <v>0</v>
      </c>
      <c r="AA59" s="342">
        <f t="shared" si="15"/>
        <v>0</v>
      </c>
      <c r="AB59" s="342">
        <f t="shared" si="15"/>
        <v>0</v>
      </c>
      <c r="AC59" s="342">
        <f t="shared" si="15"/>
        <v>0</v>
      </c>
      <c r="AD59" s="342">
        <f t="shared" si="15"/>
        <v>0</v>
      </c>
      <c r="AE59" s="342">
        <f t="shared" si="15"/>
        <v>0</v>
      </c>
      <c r="AF59" s="342">
        <f t="shared" si="15"/>
        <v>0</v>
      </c>
      <c r="AG59" s="342">
        <f t="shared" si="15"/>
        <v>0</v>
      </c>
      <c r="AH59" s="342">
        <f t="shared" si="15"/>
        <v>0</v>
      </c>
      <c r="AI59" s="342">
        <f t="shared" si="15"/>
        <v>0</v>
      </c>
      <c r="AJ59" s="342">
        <f t="shared" si="15"/>
        <v>0</v>
      </c>
      <c r="AK59" s="342">
        <f t="shared" si="15"/>
        <v>0</v>
      </c>
      <c r="AL59" s="342">
        <f t="shared" si="15"/>
        <v>0</v>
      </c>
      <c r="AM59" s="342">
        <f t="shared" si="15"/>
        <v>0</v>
      </c>
      <c r="AN59" s="342">
        <f t="shared" si="15"/>
        <v>0</v>
      </c>
      <c r="AO59" s="342">
        <f t="shared" si="15"/>
        <v>0</v>
      </c>
      <c r="AP59" s="342">
        <f t="shared" si="15"/>
        <v>0</v>
      </c>
      <c r="AQ59" s="342">
        <f t="shared" si="15"/>
        <v>0</v>
      </c>
      <c r="AR59" s="342">
        <f t="shared" si="15"/>
        <v>0</v>
      </c>
      <c r="AS59" s="342">
        <f t="shared" si="15"/>
        <v>0</v>
      </c>
    </row>
    <row r="60" spans="1:45" ht="15.6" hidden="1" outlineLevel="1">
      <c r="B60" s="1"/>
      <c r="C60" s="251"/>
      <c r="D60" s="252"/>
      <c r="E60" s="251"/>
      <c r="F60" s="252"/>
      <c r="H60" s="53"/>
      <c r="I60" s="216"/>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row>
    <row r="61" spans="1:45" hidden="1" outlineLevel="1">
      <c r="A61" s="15"/>
      <c r="B61" s="16" t="s">
        <v>309</v>
      </c>
      <c r="C61" s="12"/>
      <c r="D61" s="12"/>
      <c r="E61" s="12"/>
      <c r="F61" s="12"/>
      <c r="G61" s="12"/>
      <c r="H61" s="286">
        <f>SUM(H54:H59,H51)</f>
        <v>0</v>
      </c>
      <c r="I61" s="299"/>
      <c r="J61" s="209">
        <f>SUM(J54:J59,J51)</f>
        <v>0</v>
      </c>
      <c r="K61" s="209">
        <f>SUM(K54:K59,K51)</f>
        <v>0</v>
      </c>
      <c r="L61" s="209">
        <f t="shared" ref="L61:AS61" si="16">SUM(L54:L59,L51)</f>
        <v>0</v>
      </c>
      <c r="M61" s="209">
        <f t="shared" si="16"/>
        <v>0</v>
      </c>
      <c r="N61" s="209">
        <f t="shared" si="16"/>
        <v>0</v>
      </c>
      <c r="O61" s="209">
        <f t="shared" si="16"/>
        <v>0</v>
      </c>
      <c r="P61" s="209">
        <f t="shared" si="16"/>
        <v>0</v>
      </c>
      <c r="Q61" s="209">
        <f t="shared" si="16"/>
        <v>0</v>
      </c>
      <c r="R61" s="209">
        <f t="shared" si="16"/>
        <v>0</v>
      </c>
      <c r="S61" s="209">
        <f t="shared" si="16"/>
        <v>0</v>
      </c>
      <c r="T61" s="209">
        <f t="shared" si="16"/>
        <v>0</v>
      </c>
      <c r="U61" s="209">
        <f t="shared" si="16"/>
        <v>0</v>
      </c>
      <c r="V61" s="209">
        <f t="shared" si="16"/>
        <v>0</v>
      </c>
      <c r="W61" s="209">
        <f t="shared" si="16"/>
        <v>0</v>
      </c>
      <c r="X61" s="209">
        <f t="shared" si="16"/>
        <v>0</v>
      </c>
      <c r="Y61" s="209">
        <f t="shared" si="16"/>
        <v>0</v>
      </c>
      <c r="Z61" s="209">
        <f t="shared" si="16"/>
        <v>0</v>
      </c>
      <c r="AA61" s="209">
        <f t="shared" si="16"/>
        <v>0</v>
      </c>
      <c r="AB61" s="209">
        <f t="shared" si="16"/>
        <v>0</v>
      </c>
      <c r="AC61" s="209">
        <f t="shared" si="16"/>
        <v>0</v>
      </c>
      <c r="AD61" s="209">
        <f t="shared" si="16"/>
        <v>0</v>
      </c>
      <c r="AE61" s="209">
        <f t="shared" si="16"/>
        <v>0</v>
      </c>
      <c r="AF61" s="209">
        <f t="shared" si="16"/>
        <v>0</v>
      </c>
      <c r="AG61" s="209">
        <f t="shared" si="16"/>
        <v>0</v>
      </c>
      <c r="AH61" s="209">
        <f t="shared" si="16"/>
        <v>0</v>
      </c>
      <c r="AI61" s="209">
        <f t="shared" si="16"/>
        <v>0</v>
      </c>
      <c r="AJ61" s="209">
        <f t="shared" si="16"/>
        <v>0</v>
      </c>
      <c r="AK61" s="209">
        <f t="shared" si="16"/>
        <v>0</v>
      </c>
      <c r="AL61" s="209">
        <f t="shared" si="16"/>
        <v>0</v>
      </c>
      <c r="AM61" s="209">
        <f t="shared" si="16"/>
        <v>0</v>
      </c>
      <c r="AN61" s="209">
        <f t="shared" si="16"/>
        <v>0</v>
      </c>
      <c r="AO61" s="209">
        <f t="shared" si="16"/>
        <v>0</v>
      </c>
      <c r="AP61" s="209">
        <f t="shared" si="16"/>
        <v>0</v>
      </c>
      <c r="AQ61" s="209">
        <f t="shared" si="16"/>
        <v>0</v>
      </c>
      <c r="AR61" s="209">
        <f t="shared" si="16"/>
        <v>0</v>
      </c>
      <c r="AS61" s="209">
        <f t="shared" si="16"/>
        <v>0</v>
      </c>
    </row>
    <row r="62" spans="1:45" ht="15.6" collapsed="1">
      <c r="B62" s="1"/>
      <c r="C62" s="251"/>
      <c r="D62" s="252"/>
      <c r="E62" s="251"/>
      <c r="F62" s="252"/>
      <c r="H62" s="53"/>
      <c r="I62" s="216"/>
      <c r="K62" s="104"/>
    </row>
    <row r="63" spans="1:45" ht="21">
      <c r="A63" s="239" t="s">
        <v>215</v>
      </c>
      <c r="B63" s="240"/>
      <c r="C63" s="240"/>
      <c r="D63" s="240"/>
      <c r="E63" s="240"/>
      <c r="F63" s="240"/>
      <c r="G63" s="240"/>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0"/>
      <c r="AP63" s="240"/>
      <c r="AQ63" s="240"/>
      <c r="AR63" s="240"/>
      <c r="AS63" s="240"/>
    </row>
    <row r="64" spans="1:45" ht="15.6" hidden="1" outlineLevel="1">
      <c r="B64" s="1"/>
      <c r="C64" s="251"/>
      <c r="D64" s="252"/>
      <c r="H64" s="53"/>
      <c r="I64" s="216"/>
      <c r="K64" s="104"/>
    </row>
    <row r="65" spans="1:45" ht="15.6" hidden="1" outlineLevel="1">
      <c r="B65" s="63" t="s">
        <v>361</v>
      </c>
      <c r="C65" s="40" t="s">
        <v>362</v>
      </c>
      <c r="D65" s="242" t="s">
        <v>363</v>
      </c>
      <c r="H65" s="53"/>
      <c r="I65" s="216"/>
      <c r="K65" s="104"/>
    </row>
    <row r="66" spans="1:45" ht="15.6" hidden="1" outlineLevel="1">
      <c r="B66" s="258">
        <v>1</v>
      </c>
      <c r="C66" s="241">
        <f>IF($C$3=$C$4,'Option 3 - Cost Data LookUp'!H74,0)</f>
        <v>0</v>
      </c>
      <c r="D66" s="272">
        <f>IF($C$3=$C$4,'Option 3 - Cost Data LookUp'!$H$77,0)</f>
        <v>0</v>
      </c>
      <c r="H66" s="343">
        <f>SUM(J66:EJ66)</f>
        <v>0</v>
      </c>
      <c r="I66" s="216"/>
      <c r="J66" s="342">
        <f>-IF($B66=J$2,$C66*$D66*$C$6,)*J$4</f>
        <v>0</v>
      </c>
      <c r="K66" s="342">
        <f t="shared" ref="K66:AS68" si="17">-IF($B66=K$2,$C66*$D66*$C$6,)*K$4</f>
        <v>0</v>
      </c>
      <c r="L66" s="342">
        <f t="shared" si="17"/>
        <v>0</v>
      </c>
      <c r="M66" s="342">
        <f t="shared" si="17"/>
        <v>0</v>
      </c>
      <c r="N66" s="342">
        <f t="shared" si="17"/>
        <v>0</v>
      </c>
      <c r="O66" s="342">
        <f t="shared" si="17"/>
        <v>0</v>
      </c>
      <c r="P66" s="342">
        <f t="shared" si="17"/>
        <v>0</v>
      </c>
      <c r="Q66" s="342">
        <f t="shared" si="17"/>
        <v>0</v>
      </c>
      <c r="R66" s="342">
        <f t="shared" si="17"/>
        <v>0</v>
      </c>
      <c r="S66" s="342">
        <f t="shared" si="17"/>
        <v>0</v>
      </c>
      <c r="T66" s="342">
        <f t="shared" si="17"/>
        <v>0</v>
      </c>
      <c r="U66" s="342">
        <f t="shared" si="17"/>
        <v>0</v>
      </c>
      <c r="V66" s="342">
        <f t="shared" si="17"/>
        <v>0</v>
      </c>
      <c r="W66" s="342">
        <f t="shared" si="17"/>
        <v>0</v>
      </c>
      <c r="X66" s="342">
        <f t="shared" si="17"/>
        <v>0</v>
      </c>
      <c r="Y66" s="342">
        <f t="shared" si="17"/>
        <v>0</v>
      </c>
      <c r="Z66" s="342">
        <f t="shared" si="17"/>
        <v>0</v>
      </c>
      <c r="AA66" s="342">
        <f t="shared" si="17"/>
        <v>0</v>
      </c>
      <c r="AB66" s="342">
        <f t="shared" si="17"/>
        <v>0</v>
      </c>
      <c r="AC66" s="342">
        <f t="shared" si="17"/>
        <v>0</v>
      </c>
      <c r="AD66" s="342">
        <f t="shared" si="17"/>
        <v>0</v>
      </c>
      <c r="AE66" s="342">
        <f t="shared" si="17"/>
        <v>0</v>
      </c>
      <c r="AF66" s="342">
        <f t="shared" si="17"/>
        <v>0</v>
      </c>
      <c r="AG66" s="342">
        <f t="shared" si="17"/>
        <v>0</v>
      </c>
      <c r="AH66" s="342">
        <f t="shared" si="17"/>
        <v>0</v>
      </c>
      <c r="AI66" s="342">
        <f t="shared" si="17"/>
        <v>0</v>
      </c>
      <c r="AJ66" s="342">
        <f t="shared" si="17"/>
        <v>0</v>
      </c>
      <c r="AK66" s="342">
        <f t="shared" si="17"/>
        <v>0</v>
      </c>
      <c r="AL66" s="342">
        <f t="shared" si="17"/>
        <v>0</v>
      </c>
      <c r="AM66" s="342">
        <f t="shared" si="17"/>
        <v>0</v>
      </c>
      <c r="AN66" s="342">
        <f t="shared" si="17"/>
        <v>0</v>
      </c>
      <c r="AO66" s="342">
        <f t="shared" si="17"/>
        <v>0</v>
      </c>
      <c r="AP66" s="342">
        <f t="shared" si="17"/>
        <v>0</v>
      </c>
      <c r="AQ66" s="342">
        <f t="shared" si="17"/>
        <v>0</v>
      </c>
      <c r="AR66" s="342">
        <f t="shared" si="17"/>
        <v>0</v>
      </c>
      <c r="AS66" s="342">
        <f t="shared" si="17"/>
        <v>0</v>
      </c>
    </row>
    <row r="67" spans="1:45" ht="15.6" hidden="1" outlineLevel="1">
      <c r="B67" s="258">
        <v>2</v>
      </c>
      <c r="C67" s="241">
        <f>IF($C$3=$C$4,'Option 3 - Cost Data LookUp'!H75,0)</f>
        <v>0</v>
      </c>
      <c r="D67" s="272">
        <f>IF($C$3=$C$4,'Option 3 - Cost Data LookUp'!$H$77,0)</f>
        <v>0</v>
      </c>
      <c r="H67" s="343">
        <f>SUM(J67:EJ67)</f>
        <v>0</v>
      </c>
      <c r="I67" s="216"/>
      <c r="J67" s="342">
        <f>-IF($B67=J$2,$C67*$D67*$C$6,)*J$4</f>
        <v>0</v>
      </c>
      <c r="K67" s="342">
        <f t="shared" si="17"/>
        <v>0</v>
      </c>
      <c r="L67" s="342">
        <f t="shared" si="17"/>
        <v>0</v>
      </c>
      <c r="M67" s="342">
        <f t="shared" si="17"/>
        <v>0</v>
      </c>
      <c r="N67" s="342">
        <f t="shared" si="17"/>
        <v>0</v>
      </c>
      <c r="O67" s="342">
        <f t="shared" si="17"/>
        <v>0</v>
      </c>
      <c r="P67" s="342">
        <f t="shared" si="17"/>
        <v>0</v>
      </c>
      <c r="Q67" s="342">
        <f t="shared" si="17"/>
        <v>0</v>
      </c>
      <c r="R67" s="342">
        <f t="shared" si="17"/>
        <v>0</v>
      </c>
      <c r="S67" s="342">
        <f t="shared" si="17"/>
        <v>0</v>
      </c>
      <c r="T67" s="342">
        <f t="shared" si="17"/>
        <v>0</v>
      </c>
      <c r="U67" s="342">
        <f t="shared" si="17"/>
        <v>0</v>
      </c>
      <c r="V67" s="342">
        <f t="shared" si="17"/>
        <v>0</v>
      </c>
      <c r="W67" s="342">
        <f t="shared" si="17"/>
        <v>0</v>
      </c>
      <c r="X67" s="342">
        <f t="shared" si="17"/>
        <v>0</v>
      </c>
      <c r="Y67" s="342">
        <f t="shared" si="17"/>
        <v>0</v>
      </c>
      <c r="Z67" s="342">
        <f t="shared" si="17"/>
        <v>0</v>
      </c>
      <c r="AA67" s="342">
        <f t="shared" si="17"/>
        <v>0</v>
      </c>
      <c r="AB67" s="342">
        <f t="shared" si="17"/>
        <v>0</v>
      </c>
      <c r="AC67" s="342">
        <f t="shared" si="17"/>
        <v>0</v>
      </c>
      <c r="AD67" s="342">
        <f t="shared" si="17"/>
        <v>0</v>
      </c>
      <c r="AE67" s="342">
        <f t="shared" si="17"/>
        <v>0</v>
      </c>
      <c r="AF67" s="342">
        <f t="shared" si="17"/>
        <v>0</v>
      </c>
      <c r="AG67" s="342">
        <f t="shared" si="17"/>
        <v>0</v>
      </c>
      <c r="AH67" s="342">
        <f t="shared" si="17"/>
        <v>0</v>
      </c>
      <c r="AI67" s="342">
        <f t="shared" si="17"/>
        <v>0</v>
      </c>
      <c r="AJ67" s="342">
        <f t="shared" si="17"/>
        <v>0</v>
      </c>
      <c r="AK67" s="342">
        <f t="shared" si="17"/>
        <v>0</v>
      </c>
      <c r="AL67" s="342">
        <f t="shared" si="17"/>
        <v>0</v>
      </c>
      <c r="AM67" s="342">
        <f t="shared" si="17"/>
        <v>0</v>
      </c>
      <c r="AN67" s="342">
        <f t="shared" si="17"/>
        <v>0</v>
      </c>
      <c r="AO67" s="342">
        <f t="shared" si="17"/>
        <v>0</v>
      </c>
      <c r="AP67" s="342">
        <f t="shared" si="17"/>
        <v>0</v>
      </c>
      <c r="AQ67" s="342">
        <f t="shared" si="17"/>
        <v>0</v>
      </c>
      <c r="AR67" s="342">
        <f t="shared" si="17"/>
        <v>0</v>
      </c>
      <c r="AS67" s="342">
        <f t="shared" si="17"/>
        <v>0</v>
      </c>
    </row>
    <row r="68" spans="1:45" ht="15.6" hidden="1" outlineLevel="1">
      <c r="B68" s="258">
        <v>3</v>
      </c>
      <c r="C68" s="241">
        <f>IF($C$3=$C$4,'Option 3 - Cost Data LookUp'!H76,0)</f>
        <v>0</v>
      </c>
      <c r="D68" s="272">
        <f>IF($C$3=$C$4,'Option 3 - Cost Data LookUp'!$H$77,0)</f>
        <v>0</v>
      </c>
      <c r="H68" s="343">
        <f>SUM(J68:EJ68)</f>
        <v>0</v>
      </c>
      <c r="I68" s="216"/>
      <c r="J68" s="342">
        <f>-IF($B68=J$2,$C68*$D68*$C$6,)*J$4</f>
        <v>0</v>
      </c>
      <c r="K68" s="342">
        <f t="shared" si="17"/>
        <v>0</v>
      </c>
      <c r="L68" s="342">
        <f t="shared" si="17"/>
        <v>0</v>
      </c>
      <c r="M68" s="342">
        <f t="shared" si="17"/>
        <v>0</v>
      </c>
      <c r="N68" s="342">
        <f t="shared" si="17"/>
        <v>0</v>
      </c>
      <c r="O68" s="342">
        <f t="shared" si="17"/>
        <v>0</v>
      </c>
      <c r="P68" s="342">
        <f t="shared" si="17"/>
        <v>0</v>
      </c>
      <c r="Q68" s="342">
        <f t="shared" si="17"/>
        <v>0</v>
      </c>
      <c r="R68" s="342">
        <f t="shared" si="17"/>
        <v>0</v>
      </c>
      <c r="S68" s="342">
        <f t="shared" si="17"/>
        <v>0</v>
      </c>
      <c r="T68" s="342">
        <f t="shared" si="17"/>
        <v>0</v>
      </c>
      <c r="U68" s="342">
        <f t="shared" si="17"/>
        <v>0</v>
      </c>
      <c r="V68" s="342">
        <f t="shared" si="17"/>
        <v>0</v>
      </c>
      <c r="W68" s="342">
        <f t="shared" si="17"/>
        <v>0</v>
      </c>
      <c r="X68" s="342">
        <f t="shared" si="17"/>
        <v>0</v>
      </c>
      <c r="Y68" s="342">
        <f t="shared" si="17"/>
        <v>0</v>
      </c>
      <c r="Z68" s="342">
        <f t="shared" si="17"/>
        <v>0</v>
      </c>
      <c r="AA68" s="342">
        <f t="shared" si="17"/>
        <v>0</v>
      </c>
      <c r="AB68" s="342">
        <f t="shared" si="17"/>
        <v>0</v>
      </c>
      <c r="AC68" s="342">
        <f t="shared" si="17"/>
        <v>0</v>
      </c>
      <c r="AD68" s="342">
        <f t="shared" si="17"/>
        <v>0</v>
      </c>
      <c r="AE68" s="342">
        <f t="shared" si="17"/>
        <v>0</v>
      </c>
      <c r="AF68" s="342">
        <f t="shared" si="17"/>
        <v>0</v>
      </c>
      <c r="AG68" s="342">
        <f t="shared" si="17"/>
        <v>0</v>
      </c>
      <c r="AH68" s="342">
        <f t="shared" si="17"/>
        <v>0</v>
      </c>
      <c r="AI68" s="342">
        <f t="shared" si="17"/>
        <v>0</v>
      </c>
      <c r="AJ68" s="342">
        <f t="shared" si="17"/>
        <v>0</v>
      </c>
      <c r="AK68" s="342">
        <f t="shared" si="17"/>
        <v>0</v>
      </c>
      <c r="AL68" s="342">
        <f t="shared" si="17"/>
        <v>0</v>
      </c>
      <c r="AM68" s="342">
        <f t="shared" si="17"/>
        <v>0</v>
      </c>
      <c r="AN68" s="342">
        <f t="shared" si="17"/>
        <v>0</v>
      </c>
      <c r="AO68" s="342">
        <f t="shared" si="17"/>
        <v>0</v>
      </c>
      <c r="AP68" s="342">
        <f t="shared" si="17"/>
        <v>0</v>
      </c>
      <c r="AQ68" s="342">
        <f t="shared" si="17"/>
        <v>0</v>
      </c>
      <c r="AR68" s="342">
        <f t="shared" si="17"/>
        <v>0</v>
      </c>
      <c r="AS68" s="342">
        <f t="shared" si="17"/>
        <v>0</v>
      </c>
    </row>
    <row r="69" spans="1:45" ht="15.6" hidden="1" outlineLevel="1">
      <c r="B69" s="1"/>
      <c r="C69" s="252"/>
      <c r="D69" s="252"/>
      <c r="H69" s="53"/>
      <c r="I69" s="216"/>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row>
    <row r="70" spans="1:45" hidden="1" outlineLevel="1">
      <c r="C70" s="9" t="s">
        <v>57</v>
      </c>
      <c r="D70" s="242" t="s">
        <v>364</v>
      </c>
      <c r="E70" s="462" t="s">
        <v>345</v>
      </c>
      <c r="F70" s="462"/>
      <c r="H70" s="53"/>
      <c r="I70" s="216"/>
    </row>
    <row r="71" spans="1:45" ht="15.6" hidden="1" outlineLevel="1">
      <c r="B71" s="9" t="s">
        <v>365</v>
      </c>
      <c r="C71" s="273">
        <f>IF($C$3=$C$4,'Inputs - List of Trees'!B111,0)</f>
        <v>0</v>
      </c>
      <c r="D71" s="272">
        <f>IF($C$3=$C$4,'Option 3 - Cost Data LookUp'!H82,0)</f>
        <v>0</v>
      </c>
      <c r="E71" s="270">
        <v>1</v>
      </c>
      <c r="F71" s="271">
        <v>3</v>
      </c>
      <c r="H71" s="343">
        <f>SUM(J71:EJ71)</f>
        <v>0</v>
      </c>
      <c r="I71" s="216"/>
      <c r="J71" s="342">
        <f t="shared" ref="J71:AS71" si="18">-IF(AND(J$2&gt;=$E$71,J$2&lt;=$F$71),$D$71*$C$71,0)*J$4</f>
        <v>0</v>
      </c>
      <c r="K71" s="342">
        <f t="shared" si="18"/>
        <v>0</v>
      </c>
      <c r="L71" s="342">
        <f t="shared" si="18"/>
        <v>0</v>
      </c>
      <c r="M71" s="342">
        <f t="shared" si="18"/>
        <v>0</v>
      </c>
      <c r="N71" s="342">
        <f t="shared" si="18"/>
        <v>0</v>
      </c>
      <c r="O71" s="342">
        <f t="shared" si="18"/>
        <v>0</v>
      </c>
      <c r="P71" s="342">
        <f t="shared" si="18"/>
        <v>0</v>
      </c>
      <c r="Q71" s="342">
        <f t="shared" si="18"/>
        <v>0</v>
      </c>
      <c r="R71" s="342">
        <f t="shared" si="18"/>
        <v>0</v>
      </c>
      <c r="S71" s="342">
        <f t="shared" si="18"/>
        <v>0</v>
      </c>
      <c r="T71" s="342">
        <f t="shared" si="18"/>
        <v>0</v>
      </c>
      <c r="U71" s="342">
        <f t="shared" si="18"/>
        <v>0</v>
      </c>
      <c r="V71" s="342">
        <f t="shared" si="18"/>
        <v>0</v>
      </c>
      <c r="W71" s="342">
        <f t="shared" si="18"/>
        <v>0</v>
      </c>
      <c r="X71" s="342">
        <f t="shared" si="18"/>
        <v>0</v>
      </c>
      <c r="Y71" s="342">
        <f t="shared" si="18"/>
        <v>0</v>
      </c>
      <c r="Z71" s="342">
        <f t="shared" si="18"/>
        <v>0</v>
      </c>
      <c r="AA71" s="342">
        <f t="shared" si="18"/>
        <v>0</v>
      </c>
      <c r="AB71" s="342">
        <f t="shared" si="18"/>
        <v>0</v>
      </c>
      <c r="AC71" s="342">
        <f t="shared" si="18"/>
        <v>0</v>
      </c>
      <c r="AD71" s="342">
        <f t="shared" si="18"/>
        <v>0</v>
      </c>
      <c r="AE71" s="342">
        <f t="shared" si="18"/>
        <v>0</v>
      </c>
      <c r="AF71" s="342">
        <f t="shared" si="18"/>
        <v>0</v>
      </c>
      <c r="AG71" s="342">
        <f t="shared" si="18"/>
        <v>0</v>
      </c>
      <c r="AH71" s="342">
        <f t="shared" si="18"/>
        <v>0</v>
      </c>
      <c r="AI71" s="342">
        <f t="shared" si="18"/>
        <v>0</v>
      </c>
      <c r="AJ71" s="342">
        <f t="shared" si="18"/>
        <v>0</v>
      </c>
      <c r="AK71" s="342">
        <f t="shared" si="18"/>
        <v>0</v>
      </c>
      <c r="AL71" s="342">
        <f t="shared" si="18"/>
        <v>0</v>
      </c>
      <c r="AM71" s="342">
        <f t="shared" si="18"/>
        <v>0</v>
      </c>
      <c r="AN71" s="342">
        <f t="shared" si="18"/>
        <v>0</v>
      </c>
      <c r="AO71" s="342">
        <f t="shared" si="18"/>
        <v>0</v>
      </c>
      <c r="AP71" s="342">
        <f t="shared" si="18"/>
        <v>0</v>
      </c>
      <c r="AQ71" s="342">
        <f t="shared" si="18"/>
        <v>0</v>
      </c>
      <c r="AR71" s="342">
        <f t="shared" si="18"/>
        <v>0</v>
      </c>
      <c r="AS71" s="342">
        <f t="shared" si="18"/>
        <v>0</v>
      </c>
    </row>
    <row r="72" spans="1:45" hidden="1" outlineLevel="1">
      <c r="C72" s="252"/>
      <c r="D72" s="252"/>
      <c r="H72" s="53"/>
      <c r="I72" s="216"/>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row>
    <row r="73" spans="1:45" hidden="1" outlineLevel="1">
      <c r="A73" s="15"/>
      <c r="B73" s="16" t="s">
        <v>366</v>
      </c>
      <c r="C73" s="12"/>
      <c r="D73" s="12"/>
      <c r="E73" s="12"/>
      <c r="F73" s="12"/>
      <c r="G73" s="12"/>
      <c r="H73" s="286">
        <f>SUM(H66:H68,H71)</f>
        <v>0</v>
      </c>
      <c r="I73" s="299"/>
      <c r="J73" s="209">
        <f t="shared" ref="J73:AS73" si="19">SUM(J66:J68,J71)</f>
        <v>0</v>
      </c>
      <c r="K73" s="209">
        <f>SUM(K66:K68,K71)</f>
        <v>0</v>
      </c>
      <c r="L73" s="209">
        <f t="shared" si="19"/>
        <v>0</v>
      </c>
      <c r="M73" s="209">
        <f t="shared" si="19"/>
        <v>0</v>
      </c>
      <c r="N73" s="209">
        <f t="shared" si="19"/>
        <v>0</v>
      </c>
      <c r="O73" s="209">
        <f t="shared" si="19"/>
        <v>0</v>
      </c>
      <c r="P73" s="209">
        <f t="shared" si="19"/>
        <v>0</v>
      </c>
      <c r="Q73" s="209">
        <f t="shared" si="19"/>
        <v>0</v>
      </c>
      <c r="R73" s="209">
        <f t="shared" si="19"/>
        <v>0</v>
      </c>
      <c r="S73" s="209">
        <f t="shared" si="19"/>
        <v>0</v>
      </c>
      <c r="T73" s="209">
        <f t="shared" si="19"/>
        <v>0</v>
      </c>
      <c r="U73" s="209">
        <f t="shared" si="19"/>
        <v>0</v>
      </c>
      <c r="V73" s="209">
        <f t="shared" si="19"/>
        <v>0</v>
      </c>
      <c r="W73" s="209">
        <f t="shared" si="19"/>
        <v>0</v>
      </c>
      <c r="X73" s="209">
        <f t="shared" si="19"/>
        <v>0</v>
      </c>
      <c r="Y73" s="209">
        <f t="shared" si="19"/>
        <v>0</v>
      </c>
      <c r="Z73" s="209">
        <f t="shared" si="19"/>
        <v>0</v>
      </c>
      <c r="AA73" s="209">
        <f t="shared" si="19"/>
        <v>0</v>
      </c>
      <c r="AB73" s="209">
        <f t="shared" si="19"/>
        <v>0</v>
      </c>
      <c r="AC73" s="209">
        <f t="shared" si="19"/>
        <v>0</v>
      </c>
      <c r="AD73" s="209">
        <f t="shared" si="19"/>
        <v>0</v>
      </c>
      <c r="AE73" s="209">
        <f t="shared" si="19"/>
        <v>0</v>
      </c>
      <c r="AF73" s="209">
        <f t="shared" si="19"/>
        <v>0</v>
      </c>
      <c r="AG73" s="209">
        <f t="shared" si="19"/>
        <v>0</v>
      </c>
      <c r="AH73" s="209">
        <f t="shared" si="19"/>
        <v>0</v>
      </c>
      <c r="AI73" s="209">
        <f t="shared" si="19"/>
        <v>0</v>
      </c>
      <c r="AJ73" s="209">
        <f t="shared" si="19"/>
        <v>0</v>
      </c>
      <c r="AK73" s="209">
        <f t="shared" si="19"/>
        <v>0</v>
      </c>
      <c r="AL73" s="209">
        <f t="shared" si="19"/>
        <v>0</v>
      </c>
      <c r="AM73" s="209">
        <f t="shared" si="19"/>
        <v>0</v>
      </c>
      <c r="AN73" s="209">
        <f t="shared" si="19"/>
        <v>0</v>
      </c>
      <c r="AO73" s="209">
        <f t="shared" si="19"/>
        <v>0</v>
      </c>
      <c r="AP73" s="209">
        <f t="shared" si="19"/>
        <v>0</v>
      </c>
      <c r="AQ73" s="209">
        <f t="shared" si="19"/>
        <v>0</v>
      </c>
      <c r="AR73" s="209">
        <f t="shared" si="19"/>
        <v>0</v>
      </c>
      <c r="AS73" s="209">
        <f t="shared" si="19"/>
        <v>0</v>
      </c>
    </row>
    <row r="74" spans="1:45" collapsed="1">
      <c r="H74" s="53"/>
      <c r="I74" s="216"/>
    </row>
    <row r="75" spans="1:45" ht="21">
      <c r="A75" s="239" t="s">
        <v>274</v>
      </c>
      <c r="B75" s="240"/>
      <c r="C75" s="240"/>
      <c r="D75" s="240"/>
      <c r="E75" s="240"/>
      <c r="F75" s="240"/>
      <c r="G75" s="240"/>
      <c r="H75" s="240"/>
      <c r="I75" s="240"/>
      <c r="J75" s="240"/>
      <c r="K75" s="240"/>
      <c r="L75" s="240"/>
      <c r="M75" s="240"/>
      <c r="N75" s="240"/>
      <c r="O75" s="240"/>
      <c r="P75" s="240"/>
      <c r="Q75" s="240"/>
      <c r="R75" s="240"/>
      <c r="S75" s="240"/>
      <c r="T75" s="240"/>
      <c r="U75" s="240"/>
      <c r="V75" s="240"/>
      <c r="W75" s="240"/>
      <c r="X75" s="240"/>
      <c r="Y75" s="240"/>
      <c r="Z75" s="240"/>
      <c r="AA75" s="240"/>
      <c r="AB75" s="240"/>
      <c r="AC75" s="240"/>
      <c r="AD75" s="240"/>
      <c r="AE75" s="240"/>
      <c r="AF75" s="240"/>
      <c r="AG75" s="240"/>
      <c r="AH75" s="240"/>
      <c r="AI75" s="240"/>
      <c r="AJ75" s="240"/>
      <c r="AK75" s="240"/>
      <c r="AL75" s="240"/>
      <c r="AM75" s="240"/>
      <c r="AN75" s="240"/>
      <c r="AO75" s="240"/>
      <c r="AP75" s="240"/>
      <c r="AQ75" s="240"/>
      <c r="AR75" s="240"/>
      <c r="AS75" s="240"/>
    </row>
    <row r="76" spans="1:45" ht="17.45" hidden="1" customHeight="1" outlineLevel="1">
      <c r="H76" s="53"/>
      <c r="I76" s="216"/>
    </row>
    <row r="77" spans="1:45" ht="15.6" hidden="1" outlineLevel="1">
      <c r="B77" s="1"/>
      <c r="C77" s="462" t="s">
        <v>345</v>
      </c>
      <c r="D77" s="462"/>
      <c r="E77" s="40" t="s">
        <v>367</v>
      </c>
      <c r="H77" s="53"/>
      <c r="I77" s="216"/>
    </row>
    <row r="78" spans="1:45" ht="16.5" hidden="1" customHeight="1" outlineLevel="1">
      <c r="B78" s="63" t="str">
        <f>'Option 3 - Cost Data LookUp'!D92</f>
        <v>Crown lifting &amp; deadwood cleanout</v>
      </c>
      <c r="C78" s="271">
        <f>'Input - General and Overview'!G24</f>
        <v>2028</v>
      </c>
      <c r="D78" s="271">
        <f>'Input - General and Overview'!H24</f>
        <v>2055</v>
      </c>
      <c r="E78" s="314">
        <v>10</v>
      </c>
      <c r="H78" s="53"/>
      <c r="I78" s="216"/>
    </row>
    <row r="79" spans="1:45" hidden="1" outlineLevel="1">
      <c r="B79" s="103" t="s">
        <v>35</v>
      </c>
      <c r="C79" s="40" t="s">
        <v>368</v>
      </c>
      <c r="D79" s="40" t="s">
        <v>174</v>
      </c>
      <c r="H79" s="53"/>
      <c r="I79" s="216"/>
    </row>
    <row r="80" spans="1:45" ht="15.6" hidden="1" customHeight="1" outlineLevel="1">
      <c r="A80" s="463" t="str">
        <f>DetailedList</f>
        <v>Detailed list of trees</v>
      </c>
      <c r="B80" s="63" t="s">
        <v>354</v>
      </c>
      <c r="C80" s="274">
        <f>IF($C$5=DetailedList,COUNTIF('Inputs - List of Trees'!$E$9:$E$108,B80),0)</f>
        <v>0</v>
      </c>
      <c r="D80" s="272">
        <f>IF(AND($C$3=$C$4,C80&gt;0),(INDEX('Option 3 - Cost Data LookUp'!$G$93:$G$98, MATCH('Option 3 - Cashflow'!$B80,'Option 3 - Cost Data LookUp'!$D$93:$D$98, 0))),0)</f>
        <v>0</v>
      </c>
      <c r="H80" s="343">
        <f t="shared" ref="H80:H85" si="20">SUM(J80:EJ80)</f>
        <v>0</v>
      </c>
      <c r="I80" s="216"/>
      <c r="J80" s="342">
        <f t="shared" ref="J80:S85" si="21">-IF(AND(MOD(J$3,$E$78)=0,J$3&gt;=$C$78,J$3&lt;=$D$78),($C80*$D80)*J$4,0)</f>
        <v>0</v>
      </c>
      <c r="K80" s="342">
        <f t="shared" si="21"/>
        <v>0</v>
      </c>
      <c r="L80" s="342">
        <f t="shared" si="21"/>
        <v>0</v>
      </c>
      <c r="M80" s="342">
        <f t="shared" si="21"/>
        <v>0</v>
      </c>
      <c r="N80" s="342">
        <f t="shared" si="21"/>
        <v>0</v>
      </c>
      <c r="O80" s="342">
        <f t="shared" si="21"/>
        <v>0</v>
      </c>
      <c r="P80" s="342">
        <f t="shared" si="21"/>
        <v>0</v>
      </c>
      <c r="Q80" s="342">
        <f t="shared" si="21"/>
        <v>0</v>
      </c>
      <c r="R80" s="342">
        <f t="shared" si="21"/>
        <v>0</v>
      </c>
      <c r="S80" s="342">
        <f t="shared" si="21"/>
        <v>0</v>
      </c>
      <c r="T80" s="342">
        <f t="shared" ref="T80:AC85" si="22">-IF(AND(MOD(T$3,$E$78)=0,T$3&gt;=$C$78,T$3&lt;=$D$78),($C80*$D80)*T$4,0)</f>
        <v>0</v>
      </c>
      <c r="U80" s="342">
        <f t="shared" si="22"/>
        <v>0</v>
      </c>
      <c r="V80" s="342">
        <f t="shared" si="22"/>
        <v>0</v>
      </c>
      <c r="W80" s="342">
        <f t="shared" si="22"/>
        <v>0</v>
      </c>
      <c r="X80" s="342">
        <f t="shared" si="22"/>
        <v>0</v>
      </c>
      <c r="Y80" s="342">
        <f t="shared" si="22"/>
        <v>0</v>
      </c>
      <c r="Z80" s="342">
        <f t="shared" si="22"/>
        <v>0</v>
      </c>
      <c r="AA80" s="342">
        <f t="shared" si="22"/>
        <v>0</v>
      </c>
      <c r="AB80" s="342">
        <f t="shared" si="22"/>
        <v>0</v>
      </c>
      <c r="AC80" s="342">
        <f t="shared" si="22"/>
        <v>0</v>
      </c>
      <c r="AD80" s="342">
        <f t="shared" ref="AD80:AM85" si="23">-IF(AND(MOD(AD$3,$E$78)=0,AD$3&gt;=$C$78,AD$3&lt;=$D$78),($C80*$D80)*AD$4,0)</f>
        <v>0</v>
      </c>
      <c r="AE80" s="342">
        <f t="shared" si="23"/>
        <v>0</v>
      </c>
      <c r="AF80" s="342">
        <f t="shared" si="23"/>
        <v>0</v>
      </c>
      <c r="AG80" s="342">
        <f t="shared" si="23"/>
        <v>0</v>
      </c>
      <c r="AH80" s="342">
        <f t="shared" si="23"/>
        <v>0</v>
      </c>
      <c r="AI80" s="342">
        <f t="shared" si="23"/>
        <v>0</v>
      </c>
      <c r="AJ80" s="342">
        <f t="shared" si="23"/>
        <v>0</v>
      </c>
      <c r="AK80" s="342">
        <f t="shared" si="23"/>
        <v>0</v>
      </c>
      <c r="AL80" s="342">
        <f t="shared" si="23"/>
        <v>0</v>
      </c>
      <c r="AM80" s="342">
        <f t="shared" si="23"/>
        <v>0</v>
      </c>
      <c r="AN80" s="342">
        <f t="shared" ref="AN80:AS85" si="24">-IF(AND(MOD(AN$3,$E$78)=0,AN$3&gt;=$C$78,AN$3&lt;=$D$78),($C80*$D80)*AN$4,0)</f>
        <v>0</v>
      </c>
      <c r="AO80" s="342">
        <f t="shared" si="24"/>
        <v>0</v>
      </c>
      <c r="AP80" s="342">
        <f t="shared" si="24"/>
        <v>0</v>
      </c>
      <c r="AQ80" s="342">
        <f t="shared" si="24"/>
        <v>0</v>
      </c>
      <c r="AR80" s="342">
        <f t="shared" si="24"/>
        <v>0</v>
      </c>
      <c r="AS80" s="342">
        <f t="shared" si="24"/>
        <v>0</v>
      </c>
    </row>
    <row r="81" spans="1:45" ht="15.6" hidden="1" outlineLevel="1">
      <c r="A81" s="463"/>
      <c r="B81" s="63" t="s">
        <v>355</v>
      </c>
      <c r="C81" s="274">
        <f>IF($C$5=DetailedList,COUNTIF('Inputs - List of Trees'!$E$9:$E$108,B81),0)</f>
        <v>0</v>
      </c>
      <c r="D81" s="272">
        <f>IF(AND($C$3=$C$4,C81&gt;0),(INDEX('Option 3 - Cost Data LookUp'!$G$93:$G$98, MATCH('Option 3 - Cashflow'!$B81,'Option 3 - Cost Data LookUp'!$D$93:$D$98, 0))),0)</f>
        <v>0</v>
      </c>
      <c r="H81" s="343">
        <f t="shared" si="20"/>
        <v>0</v>
      </c>
      <c r="I81" s="216"/>
      <c r="J81" s="342">
        <f t="shared" si="21"/>
        <v>0</v>
      </c>
      <c r="K81" s="342">
        <f t="shared" si="21"/>
        <v>0</v>
      </c>
      <c r="L81" s="342">
        <f t="shared" si="21"/>
        <v>0</v>
      </c>
      <c r="M81" s="342">
        <f t="shared" si="21"/>
        <v>0</v>
      </c>
      <c r="N81" s="342">
        <f t="shared" si="21"/>
        <v>0</v>
      </c>
      <c r="O81" s="342">
        <f t="shared" si="21"/>
        <v>0</v>
      </c>
      <c r="P81" s="342">
        <f t="shared" si="21"/>
        <v>0</v>
      </c>
      <c r="Q81" s="342">
        <f t="shared" si="21"/>
        <v>0</v>
      </c>
      <c r="R81" s="342">
        <f t="shared" si="21"/>
        <v>0</v>
      </c>
      <c r="S81" s="342">
        <f t="shared" si="21"/>
        <v>0</v>
      </c>
      <c r="T81" s="342">
        <f t="shared" si="22"/>
        <v>0</v>
      </c>
      <c r="U81" s="342">
        <f t="shared" si="22"/>
        <v>0</v>
      </c>
      <c r="V81" s="342">
        <f t="shared" si="22"/>
        <v>0</v>
      </c>
      <c r="W81" s="342">
        <f t="shared" si="22"/>
        <v>0</v>
      </c>
      <c r="X81" s="342">
        <f t="shared" si="22"/>
        <v>0</v>
      </c>
      <c r="Y81" s="342">
        <f t="shared" si="22"/>
        <v>0</v>
      </c>
      <c r="Z81" s="342">
        <f t="shared" si="22"/>
        <v>0</v>
      </c>
      <c r="AA81" s="342">
        <f t="shared" si="22"/>
        <v>0</v>
      </c>
      <c r="AB81" s="342">
        <f t="shared" si="22"/>
        <v>0</v>
      </c>
      <c r="AC81" s="342">
        <f t="shared" si="22"/>
        <v>0</v>
      </c>
      <c r="AD81" s="342">
        <f t="shared" si="23"/>
        <v>0</v>
      </c>
      <c r="AE81" s="342">
        <f t="shared" si="23"/>
        <v>0</v>
      </c>
      <c r="AF81" s="342">
        <f t="shared" si="23"/>
        <v>0</v>
      </c>
      <c r="AG81" s="342">
        <f t="shared" si="23"/>
        <v>0</v>
      </c>
      <c r="AH81" s="342">
        <f t="shared" si="23"/>
        <v>0</v>
      </c>
      <c r="AI81" s="342">
        <f t="shared" si="23"/>
        <v>0</v>
      </c>
      <c r="AJ81" s="342">
        <f t="shared" si="23"/>
        <v>0</v>
      </c>
      <c r="AK81" s="342">
        <f t="shared" si="23"/>
        <v>0</v>
      </c>
      <c r="AL81" s="342">
        <f t="shared" si="23"/>
        <v>0</v>
      </c>
      <c r="AM81" s="342">
        <f t="shared" si="23"/>
        <v>0</v>
      </c>
      <c r="AN81" s="342">
        <f t="shared" si="24"/>
        <v>0</v>
      </c>
      <c r="AO81" s="342">
        <f t="shared" si="24"/>
        <v>0</v>
      </c>
      <c r="AP81" s="342">
        <f t="shared" si="24"/>
        <v>0</v>
      </c>
      <c r="AQ81" s="342">
        <f t="shared" si="24"/>
        <v>0</v>
      </c>
      <c r="AR81" s="342">
        <f t="shared" si="24"/>
        <v>0</v>
      </c>
      <c r="AS81" s="342">
        <f t="shared" si="24"/>
        <v>0</v>
      </c>
    </row>
    <row r="82" spans="1:45" s="342" customFormat="1" ht="15.6" hidden="1" outlineLevel="1">
      <c r="A82" s="463"/>
      <c r="B82" s="63" t="s">
        <v>356</v>
      </c>
      <c r="C82" s="274">
        <f>IF($C$5=DetailedList,COUNTIF('Inputs - List of Trees'!$E$9:$E$108,B82),0)</f>
        <v>0</v>
      </c>
      <c r="D82" s="272">
        <f>IF(AND($C$3=$C$4,C82&gt;0),(INDEX('Option 3 - Cost Data LookUp'!$G$93:$G$98, MATCH('Option 3 - Cashflow'!$B82,'Option 3 - Cost Data LookUp'!$D$93:$D$98, 0))),0)</f>
        <v>0</v>
      </c>
      <c r="E82" s="265"/>
      <c r="F82"/>
      <c r="G82"/>
      <c r="H82" s="343">
        <f t="shared" si="20"/>
        <v>0</v>
      </c>
      <c r="I82" s="216"/>
      <c r="J82" s="342">
        <f t="shared" si="21"/>
        <v>0</v>
      </c>
      <c r="K82" s="342">
        <f t="shared" si="21"/>
        <v>0</v>
      </c>
      <c r="L82" s="342">
        <f t="shared" si="21"/>
        <v>0</v>
      </c>
      <c r="M82" s="342">
        <f t="shared" si="21"/>
        <v>0</v>
      </c>
      <c r="N82" s="342">
        <f t="shared" si="21"/>
        <v>0</v>
      </c>
      <c r="O82" s="342">
        <f t="shared" si="21"/>
        <v>0</v>
      </c>
      <c r="P82" s="342">
        <f t="shared" si="21"/>
        <v>0</v>
      </c>
      <c r="Q82" s="342">
        <f t="shared" si="21"/>
        <v>0</v>
      </c>
      <c r="R82" s="342">
        <f t="shared" si="21"/>
        <v>0</v>
      </c>
      <c r="S82" s="342">
        <f t="shared" si="21"/>
        <v>0</v>
      </c>
      <c r="T82" s="342">
        <f t="shared" si="22"/>
        <v>0</v>
      </c>
      <c r="U82" s="342">
        <f t="shared" si="22"/>
        <v>0</v>
      </c>
      <c r="V82" s="342">
        <f t="shared" si="22"/>
        <v>0</v>
      </c>
      <c r="W82" s="342">
        <f t="shared" si="22"/>
        <v>0</v>
      </c>
      <c r="X82" s="342">
        <f t="shared" si="22"/>
        <v>0</v>
      </c>
      <c r="Y82" s="342">
        <f t="shared" si="22"/>
        <v>0</v>
      </c>
      <c r="Z82" s="342">
        <f t="shared" si="22"/>
        <v>0</v>
      </c>
      <c r="AA82" s="342">
        <f t="shared" si="22"/>
        <v>0</v>
      </c>
      <c r="AB82" s="342">
        <f t="shared" si="22"/>
        <v>0</v>
      </c>
      <c r="AC82" s="342">
        <f t="shared" si="22"/>
        <v>0</v>
      </c>
      <c r="AD82" s="342">
        <f t="shared" si="23"/>
        <v>0</v>
      </c>
      <c r="AE82" s="342">
        <f t="shared" si="23"/>
        <v>0</v>
      </c>
      <c r="AF82" s="342">
        <f t="shared" si="23"/>
        <v>0</v>
      </c>
      <c r="AG82" s="342">
        <f t="shared" si="23"/>
        <v>0</v>
      </c>
      <c r="AH82" s="342">
        <f t="shared" si="23"/>
        <v>0</v>
      </c>
      <c r="AI82" s="342">
        <f t="shared" si="23"/>
        <v>0</v>
      </c>
      <c r="AJ82" s="342">
        <f t="shared" si="23"/>
        <v>0</v>
      </c>
      <c r="AK82" s="342">
        <f t="shared" si="23"/>
        <v>0</v>
      </c>
      <c r="AL82" s="342">
        <f t="shared" si="23"/>
        <v>0</v>
      </c>
      <c r="AM82" s="342">
        <f t="shared" si="23"/>
        <v>0</v>
      </c>
      <c r="AN82" s="342">
        <f t="shared" si="24"/>
        <v>0</v>
      </c>
      <c r="AO82" s="342">
        <f t="shared" si="24"/>
        <v>0</v>
      </c>
      <c r="AP82" s="342">
        <f t="shared" si="24"/>
        <v>0</v>
      </c>
      <c r="AQ82" s="342">
        <f t="shared" si="24"/>
        <v>0</v>
      </c>
      <c r="AR82" s="342">
        <f t="shared" si="24"/>
        <v>0</v>
      </c>
      <c r="AS82" s="342">
        <f t="shared" si="24"/>
        <v>0</v>
      </c>
    </row>
    <row r="83" spans="1:45" s="342" customFormat="1" ht="15.6" hidden="1" outlineLevel="1">
      <c r="A83" s="463"/>
      <c r="B83" s="63" t="s">
        <v>357</v>
      </c>
      <c r="C83" s="274">
        <f>IF($C$5=DetailedList,COUNTIF('Inputs - List of Trees'!$E$9:$E$108,B83),0)</f>
        <v>0</v>
      </c>
      <c r="D83" s="272">
        <f>IF(AND($C$3=$C$4,C83&gt;0),(INDEX('Option 3 - Cost Data LookUp'!$G$93:$G$98, MATCH('Option 3 - Cashflow'!$B83,'Option 3 - Cost Data LookUp'!$D$93:$D$98, 0))),0)</f>
        <v>0</v>
      </c>
      <c r="E83"/>
      <c r="F83"/>
      <c r="G83"/>
      <c r="H83" s="343">
        <f t="shared" si="20"/>
        <v>0</v>
      </c>
      <c r="I83" s="216"/>
      <c r="J83" s="342">
        <f t="shared" si="21"/>
        <v>0</v>
      </c>
      <c r="K83" s="342">
        <f t="shared" si="21"/>
        <v>0</v>
      </c>
      <c r="L83" s="342">
        <f t="shared" si="21"/>
        <v>0</v>
      </c>
      <c r="M83" s="342">
        <f t="shared" si="21"/>
        <v>0</v>
      </c>
      <c r="N83" s="342">
        <f t="shared" si="21"/>
        <v>0</v>
      </c>
      <c r="O83" s="342">
        <f t="shared" si="21"/>
        <v>0</v>
      </c>
      <c r="P83" s="342">
        <f t="shared" si="21"/>
        <v>0</v>
      </c>
      <c r="Q83" s="342">
        <f t="shared" si="21"/>
        <v>0</v>
      </c>
      <c r="R83" s="342">
        <f t="shared" si="21"/>
        <v>0</v>
      </c>
      <c r="S83" s="342">
        <f t="shared" si="21"/>
        <v>0</v>
      </c>
      <c r="T83" s="342">
        <f t="shared" si="22"/>
        <v>0</v>
      </c>
      <c r="U83" s="342">
        <f t="shared" si="22"/>
        <v>0</v>
      </c>
      <c r="V83" s="342">
        <f t="shared" si="22"/>
        <v>0</v>
      </c>
      <c r="W83" s="342">
        <f t="shared" si="22"/>
        <v>0</v>
      </c>
      <c r="X83" s="342">
        <f t="shared" si="22"/>
        <v>0</v>
      </c>
      <c r="Y83" s="342">
        <f t="shared" si="22"/>
        <v>0</v>
      </c>
      <c r="Z83" s="342">
        <f t="shared" si="22"/>
        <v>0</v>
      </c>
      <c r="AA83" s="342">
        <f t="shared" si="22"/>
        <v>0</v>
      </c>
      <c r="AB83" s="342">
        <f t="shared" si="22"/>
        <v>0</v>
      </c>
      <c r="AC83" s="342">
        <f t="shared" si="22"/>
        <v>0</v>
      </c>
      <c r="AD83" s="342">
        <f t="shared" si="23"/>
        <v>0</v>
      </c>
      <c r="AE83" s="342">
        <f t="shared" si="23"/>
        <v>0</v>
      </c>
      <c r="AF83" s="342">
        <f t="shared" si="23"/>
        <v>0</v>
      </c>
      <c r="AG83" s="342">
        <f t="shared" si="23"/>
        <v>0</v>
      </c>
      <c r="AH83" s="342">
        <f t="shared" si="23"/>
        <v>0</v>
      </c>
      <c r="AI83" s="342">
        <f t="shared" si="23"/>
        <v>0</v>
      </c>
      <c r="AJ83" s="342">
        <f t="shared" si="23"/>
        <v>0</v>
      </c>
      <c r="AK83" s="342">
        <f t="shared" si="23"/>
        <v>0</v>
      </c>
      <c r="AL83" s="342">
        <f t="shared" si="23"/>
        <v>0</v>
      </c>
      <c r="AM83" s="342">
        <f t="shared" si="23"/>
        <v>0</v>
      </c>
      <c r="AN83" s="342">
        <f t="shared" si="24"/>
        <v>0</v>
      </c>
      <c r="AO83" s="342">
        <f t="shared" si="24"/>
        <v>0</v>
      </c>
      <c r="AP83" s="342">
        <f t="shared" si="24"/>
        <v>0</v>
      </c>
      <c r="AQ83" s="342">
        <f t="shared" si="24"/>
        <v>0</v>
      </c>
      <c r="AR83" s="342">
        <f t="shared" si="24"/>
        <v>0</v>
      </c>
      <c r="AS83" s="342">
        <f t="shared" si="24"/>
        <v>0</v>
      </c>
    </row>
    <row r="84" spans="1:45" s="342" customFormat="1" ht="15.6" hidden="1" outlineLevel="1">
      <c r="A84" s="463"/>
      <c r="B84" s="63" t="s">
        <v>358</v>
      </c>
      <c r="C84" s="274">
        <f>IF($C$5=DetailedList,COUNTIF('Inputs - List of Trees'!$E$9:$E$108,B84),0)</f>
        <v>0</v>
      </c>
      <c r="D84" s="272">
        <f>IF(AND($C$3=$C$4,C84&gt;0),(INDEX('Option 3 - Cost Data LookUp'!$G$93:$G$98, MATCH('Option 3 - Cashflow'!$B84,'Option 3 - Cost Data LookUp'!$D$93:$D$98, 0))),0)</f>
        <v>0</v>
      </c>
      <c r="E84"/>
      <c r="F84"/>
      <c r="G84"/>
      <c r="H84" s="343">
        <f>SUM(J84:EJ84)</f>
        <v>0</v>
      </c>
      <c r="I84" s="216"/>
      <c r="J84" s="342">
        <f t="shared" si="21"/>
        <v>0</v>
      </c>
      <c r="K84" s="342">
        <f t="shared" si="21"/>
        <v>0</v>
      </c>
      <c r="L84" s="342">
        <f t="shared" si="21"/>
        <v>0</v>
      </c>
      <c r="M84" s="342">
        <f t="shared" si="21"/>
        <v>0</v>
      </c>
      <c r="N84" s="342">
        <f t="shared" si="21"/>
        <v>0</v>
      </c>
      <c r="O84" s="342">
        <f t="shared" si="21"/>
        <v>0</v>
      </c>
      <c r="P84" s="342">
        <f t="shared" si="21"/>
        <v>0</v>
      </c>
      <c r="Q84" s="342">
        <f t="shared" si="21"/>
        <v>0</v>
      </c>
      <c r="R84" s="342">
        <f t="shared" si="21"/>
        <v>0</v>
      </c>
      <c r="S84" s="342">
        <f t="shared" si="21"/>
        <v>0</v>
      </c>
      <c r="T84" s="342">
        <f t="shared" si="22"/>
        <v>0</v>
      </c>
      <c r="U84" s="342">
        <f t="shared" si="22"/>
        <v>0</v>
      </c>
      <c r="V84" s="342">
        <f t="shared" si="22"/>
        <v>0</v>
      </c>
      <c r="W84" s="342">
        <f t="shared" si="22"/>
        <v>0</v>
      </c>
      <c r="X84" s="342">
        <f t="shared" si="22"/>
        <v>0</v>
      </c>
      <c r="Y84" s="342">
        <f t="shared" si="22"/>
        <v>0</v>
      </c>
      <c r="Z84" s="342">
        <f t="shared" si="22"/>
        <v>0</v>
      </c>
      <c r="AA84" s="342">
        <f t="shared" si="22"/>
        <v>0</v>
      </c>
      <c r="AB84" s="342">
        <f t="shared" si="22"/>
        <v>0</v>
      </c>
      <c r="AC84" s="342">
        <f t="shared" si="22"/>
        <v>0</v>
      </c>
      <c r="AD84" s="342">
        <f t="shared" si="23"/>
        <v>0</v>
      </c>
      <c r="AE84" s="342">
        <f t="shared" si="23"/>
        <v>0</v>
      </c>
      <c r="AF84" s="342">
        <f t="shared" si="23"/>
        <v>0</v>
      </c>
      <c r="AG84" s="342">
        <f t="shared" si="23"/>
        <v>0</v>
      </c>
      <c r="AH84" s="342">
        <f t="shared" si="23"/>
        <v>0</v>
      </c>
      <c r="AI84" s="342">
        <f t="shared" si="23"/>
        <v>0</v>
      </c>
      <c r="AJ84" s="342">
        <f t="shared" si="23"/>
        <v>0</v>
      </c>
      <c r="AK84" s="342">
        <f t="shared" si="23"/>
        <v>0</v>
      </c>
      <c r="AL84" s="342">
        <f t="shared" si="23"/>
        <v>0</v>
      </c>
      <c r="AM84" s="342">
        <f t="shared" si="23"/>
        <v>0</v>
      </c>
      <c r="AN84" s="342">
        <f t="shared" si="24"/>
        <v>0</v>
      </c>
      <c r="AO84" s="342">
        <f t="shared" si="24"/>
        <v>0</v>
      </c>
      <c r="AP84" s="342">
        <f t="shared" si="24"/>
        <v>0</v>
      </c>
      <c r="AQ84" s="342">
        <f t="shared" si="24"/>
        <v>0</v>
      </c>
      <c r="AR84" s="342">
        <f t="shared" si="24"/>
        <v>0</v>
      </c>
      <c r="AS84" s="342">
        <f t="shared" si="24"/>
        <v>0</v>
      </c>
    </row>
    <row r="85" spans="1:45" s="342" customFormat="1" ht="19.5" hidden="1" customHeight="1" outlineLevel="1">
      <c r="A85" s="463"/>
      <c r="B85" s="63" t="s">
        <v>359</v>
      </c>
      <c r="C85" s="274">
        <f>IF($C$5=DetailedList,COUNTIF('Inputs - List of Trees'!$E$9:$E$108,B85),0)</f>
        <v>0</v>
      </c>
      <c r="D85" s="272">
        <f>IF(AND($C$3=$C$4,C85&gt;0),(INDEX('Option 3 - Cost Data LookUp'!$G$93:$G$98, MATCH('Option 3 - Cashflow'!$B85,'Option 3 - Cost Data LookUp'!$D$93:$D$98, 0))),0)</f>
        <v>0</v>
      </c>
      <c r="E85"/>
      <c r="F85"/>
      <c r="G85"/>
      <c r="H85" s="343">
        <f t="shared" si="20"/>
        <v>0</v>
      </c>
      <c r="I85" s="216"/>
      <c r="J85" s="342">
        <f t="shared" si="21"/>
        <v>0</v>
      </c>
      <c r="K85" s="342">
        <f t="shared" si="21"/>
        <v>0</v>
      </c>
      <c r="L85" s="342">
        <f t="shared" si="21"/>
        <v>0</v>
      </c>
      <c r="M85" s="342">
        <f t="shared" si="21"/>
        <v>0</v>
      </c>
      <c r="N85" s="342">
        <f t="shared" si="21"/>
        <v>0</v>
      </c>
      <c r="O85" s="342">
        <f t="shared" si="21"/>
        <v>0</v>
      </c>
      <c r="P85" s="342">
        <f t="shared" si="21"/>
        <v>0</v>
      </c>
      <c r="Q85" s="342">
        <f t="shared" si="21"/>
        <v>0</v>
      </c>
      <c r="R85" s="342">
        <f t="shared" si="21"/>
        <v>0</v>
      </c>
      <c r="S85" s="342">
        <f t="shared" si="21"/>
        <v>0</v>
      </c>
      <c r="T85" s="342">
        <f t="shared" si="22"/>
        <v>0</v>
      </c>
      <c r="U85" s="342">
        <f t="shared" si="22"/>
        <v>0</v>
      </c>
      <c r="V85" s="342">
        <f t="shared" si="22"/>
        <v>0</v>
      </c>
      <c r="W85" s="342">
        <f t="shared" si="22"/>
        <v>0</v>
      </c>
      <c r="X85" s="342">
        <f t="shared" si="22"/>
        <v>0</v>
      </c>
      <c r="Y85" s="342">
        <f t="shared" si="22"/>
        <v>0</v>
      </c>
      <c r="Z85" s="342">
        <f t="shared" si="22"/>
        <v>0</v>
      </c>
      <c r="AA85" s="342">
        <f t="shared" si="22"/>
        <v>0</v>
      </c>
      <c r="AB85" s="342">
        <f t="shared" si="22"/>
        <v>0</v>
      </c>
      <c r="AC85" s="342">
        <f t="shared" si="22"/>
        <v>0</v>
      </c>
      <c r="AD85" s="342">
        <f t="shared" si="23"/>
        <v>0</v>
      </c>
      <c r="AE85" s="342">
        <f t="shared" si="23"/>
        <v>0</v>
      </c>
      <c r="AF85" s="342">
        <f t="shared" si="23"/>
        <v>0</v>
      </c>
      <c r="AG85" s="342">
        <f t="shared" si="23"/>
        <v>0</v>
      </c>
      <c r="AH85" s="342">
        <f t="shared" si="23"/>
        <v>0</v>
      </c>
      <c r="AI85" s="342">
        <f t="shared" si="23"/>
        <v>0</v>
      </c>
      <c r="AJ85" s="342">
        <f t="shared" si="23"/>
        <v>0</v>
      </c>
      <c r="AK85" s="342">
        <f t="shared" si="23"/>
        <v>0</v>
      </c>
      <c r="AL85" s="342">
        <f t="shared" si="23"/>
        <v>0</v>
      </c>
      <c r="AM85" s="342">
        <f t="shared" si="23"/>
        <v>0</v>
      </c>
      <c r="AN85" s="342">
        <f t="shared" si="24"/>
        <v>0</v>
      </c>
      <c r="AO85" s="342">
        <f t="shared" si="24"/>
        <v>0</v>
      </c>
      <c r="AP85" s="342">
        <f t="shared" si="24"/>
        <v>0</v>
      </c>
      <c r="AQ85" s="342">
        <f t="shared" si="24"/>
        <v>0</v>
      </c>
      <c r="AR85" s="342">
        <f t="shared" si="24"/>
        <v>0</v>
      </c>
      <c r="AS85" s="342">
        <f t="shared" si="24"/>
        <v>0</v>
      </c>
    </row>
    <row r="86" spans="1:45" s="342" customFormat="1" ht="15.6" hidden="1" outlineLevel="1">
      <c r="A86" s="308"/>
      <c r="B86" s="63" t="str">
        <f>BulkNumber</f>
        <v>Bulk number of trees</v>
      </c>
      <c r="C86" s="274">
        <f>IF(AND(C3=C4,C5=BulkNumber),C6,0)</f>
        <v>0</v>
      </c>
      <c r="D86" s="30">
        <f>IF(AND(C3=C4,C5=BulkNumber),'Option 3 - Cost Data LookUp'!H99,0)</f>
        <v>0</v>
      </c>
      <c r="E86"/>
      <c r="F86"/>
      <c r="G86"/>
      <c r="H86" s="343">
        <f>SUM(J86:EJ86)</f>
        <v>0</v>
      </c>
      <c r="I86" s="216"/>
      <c r="J86" s="342">
        <f t="shared" ref="J86:AS86" si="25">-IF(AND(MOD(J$3,$E$78)=0,J$3&gt;=$C$78,J$3&lt;=$D$78),$C86*$D86,0)*J$4</f>
        <v>0</v>
      </c>
      <c r="K86" s="342">
        <f t="shared" si="25"/>
        <v>0</v>
      </c>
      <c r="L86" s="342">
        <f t="shared" si="25"/>
        <v>0</v>
      </c>
      <c r="M86" s="342">
        <f t="shared" si="25"/>
        <v>0</v>
      </c>
      <c r="N86" s="342">
        <f t="shared" si="25"/>
        <v>0</v>
      </c>
      <c r="O86" s="342">
        <f t="shared" si="25"/>
        <v>0</v>
      </c>
      <c r="P86" s="342">
        <f t="shared" si="25"/>
        <v>0</v>
      </c>
      <c r="Q86" s="342">
        <f t="shared" si="25"/>
        <v>0</v>
      </c>
      <c r="R86" s="342">
        <f t="shared" si="25"/>
        <v>0</v>
      </c>
      <c r="S86" s="342">
        <f t="shared" si="25"/>
        <v>0</v>
      </c>
      <c r="T86" s="342">
        <f t="shared" si="25"/>
        <v>0</v>
      </c>
      <c r="U86" s="342">
        <f t="shared" si="25"/>
        <v>0</v>
      </c>
      <c r="V86" s="342">
        <f t="shared" si="25"/>
        <v>0</v>
      </c>
      <c r="W86" s="342">
        <f t="shared" si="25"/>
        <v>0</v>
      </c>
      <c r="X86" s="342">
        <f t="shared" si="25"/>
        <v>0</v>
      </c>
      <c r="Y86" s="342">
        <f t="shared" si="25"/>
        <v>0</v>
      </c>
      <c r="Z86" s="342">
        <f t="shared" si="25"/>
        <v>0</v>
      </c>
      <c r="AA86" s="342">
        <f t="shared" si="25"/>
        <v>0</v>
      </c>
      <c r="AB86" s="342">
        <f t="shared" si="25"/>
        <v>0</v>
      </c>
      <c r="AC86" s="342">
        <f t="shared" si="25"/>
        <v>0</v>
      </c>
      <c r="AD86" s="342">
        <f t="shared" si="25"/>
        <v>0</v>
      </c>
      <c r="AE86" s="342">
        <f t="shared" si="25"/>
        <v>0</v>
      </c>
      <c r="AF86" s="342">
        <f t="shared" si="25"/>
        <v>0</v>
      </c>
      <c r="AG86" s="342">
        <f t="shared" si="25"/>
        <v>0</v>
      </c>
      <c r="AH86" s="342">
        <f t="shared" si="25"/>
        <v>0</v>
      </c>
      <c r="AI86" s="342">
        <f t="shared" si="25"/>
        <v>0</v>
      </c>
      <c r="AJ86" s="342">
        <f t="shared" si="25"/>
        <v>0</v>
      </c>
      <c r="AK86" s="342">
        <f t="shared" si="25"/>
        <v>0</v>
      </c>
      <c r="AL86" s="342">
        <f t="shared" si="25"/>
        <v>0</v>
      </c>
      <c r="AM86" s="342">
        <f t="shared" si="25"/>
        <v>0</v>
      </c>
      <c r="AN86" s="342">
        <f t="shared" si="25"/>
        <v>0</v>
      </c>
      <c r="AO86" s="342">
        <f t="shared" si="25"/>
        <v>0</v>
      </c>
      <c r="AP86" s="342">
        <f t="shared" si="25"/>
        <v>0</v>
      </c>
      <c r="AQ86" s="342">
        <f t="shared" si="25"/>
        <v>0</v>
      </c>
      <c r="AR86" s="342">
        <f t="shared" si="25"/>
        <v>0</v>
      </c>
      <c r="AS86" s="342">
        <f t="shared" si="25"/>
        <v>0</v>
      </c>
    </row>
    <row r="87" spans="1:45" s="342" customFormat="1" hidden="1" outlineLevel="1">
      <c r="A87"/>
      <c r="B87"/>
      <c r="C87"/>
      <c r="D87"/>
      <c r="E87"/>
      <c r="F87"/>
      <c r="G87"/>
      <c r="H87" s="53"/>
      <c r="I87" s="216"/>
    </row>
    <row r="88" spans="1:45" s="342" customFormat="1" hidden="1" outlineLevel="1">
      <c r="A88"/>
      <c r="B88"/>
      <c r="C88" s="40" t="s">
        <v>351</v>
      </c>
      <c r="D88" s="465" t="s">
        <v>345</v>
      </c>
      <c r="E88" s="466"/>
      <c r="F88"/>
      <c r="G88"/>
      <c r="H88" s="53"/>
      <c r="I88" s="216"/>
    </row>
    <row r="89" spans="1:45" hidden="1" outlineLevel="1">
      <c r="B89" s="9" t="s">
        <v>369</v>
      </c>
      <c r="F89" s="314">
        <v>3</v>
      </c>
      <c r="H89" s="343"/>
      <c r="I89" s="216"/>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row>
    <row r="90" spans="1:45" ht="28.5" hidden="1" customHeight="1" outlineLevel="1">
      <c r="A90" s="460" t="str">
        <f>DetailedList</f>
        <v>Detailed list of trees</v>
      </c>
      <c r="B90" s="9" t="s">
        <v>353</v>
      </c>
      <c r="C90" s="274">
        <f>IF(AND($C$3=$C$4,C5=DetailedList),(COUNTIF('Inputs - List of Trees'!$F$9:$F$108,HARD_LANDSCAPE)),0)</f>
        <v>0</v>
      </c>
      <c r="D90" s="30">
        <f>IF(AND($C$3=$C$4,$C$5=DetailedList),'Option 3 - Cost Data LookUp'!G89,0)</f>
        <v>0</v>
      </c>
      <c r="E90" s="271">
        <f>'Input - General and Overview'!$G$24-'Input - General and Overview'!$C$4</f>
        <v>3</v>
      </c>
      <c r="F90" s="271">
        <f>'Input - General and Overview'!$C$5-'Input - General and Overview'!$C$4</f>
        <v>30</v>
      </c>
      <c r="H90" s="343">
        <f>SUM(J90:EJ90)</f>
        <v>0</v>
      </c>
      <c r="I90" s="216"/>
      <c r="J90" s="342">
        <f>-IF(AND(MOD(J$2,$F$89)=0,J$2&gt;$E90,J$2&lt;$F90),($D90*$C90)*J$4,0)</f>
        <v>0</v>
      </c>
      <c r="K90" s="342">
        <f t="shared" ref="K90:AS93" si="26">-IF(AND(MOD(K$2,$F$89)=0,K$2&gt;$E90,K$2&lt;$F90),($D90*$C90)*K$4,0)</f>
        <v>0</v>
      </c>
      <c r="L90" s="342">
        <f t="shared" si="26"/>
        <v>0</v>
      </c>
      <c r="M90" s="342">
        <f t="shared" si="26"/>
        <v>0</v>
      </c>
      <c r="N90" s="342">
        <f t="shared" si="26"/>
        <v>0</v>
      </c>
      <c r="O90" s="342">
        <f t="shared" si="26"/>
        <v>0</v>
      </c>
      <c r="P90" s="342">
        <f>-IF(AND(MOD(P$2,$F$89)=0,P$2&gt;$E90,P$2&lt;$F90),($D90*$C90)*P$4,0)</f>
        <v>0</v>
      </c>
      <c r="Q90" s="342">
        <f t="shared" si="26"/>
        <v>0</v>
      </c>
      <c r="R90" s="342">
        <f t="shared" si="26"/>
        <v>0</v>
      </c>
      <c r="S90" s="342">
        <f t="shared" si="26"/>
        <v>0</v>
      </c>
      <c r="T90" s="342">
        <f t="shared" si="26"/>
        <v>0</v>
      </c>
      <c r="U90" s="342">
        <f t="shared" si="26"/>
        <v>0</v>
      </c>
      <c r="V90" s="342">
        <f t="shared" si="26"/>
        <v>0</v>
      </c>
      <c r="W90" s="342">
        <f t="shared" si="26"/>
        <v>0</v>
      </c>
      <c r="X90" s="342">
        <f t="shared" si="26"/>
        <v>0</v>
      </c>
      <c r="Y90" s="342">
        <f t="shared" si="26"/>
        <v>0</v>
      </c>
      <c r="Z90" s="342">
        <f t="shared" si="26"/>
        <v>0</v>
      </c>
      <c r="AA90" s="342">
        <f t="shared" si="26"/>
        <v>0</v>
      </c>
      <c r="AB90" s="342">
        <f t="shared" si="26"/>
        <v>0</v>
      </c>
      <c r="AC90" s="342">
        <f t="shared" si="26"/>
        <v>0</v>
      </c>
      <c r="AD90" s="342">
        <f t="shared" si="26"/>
        <v>0</v>
      </c>
      <c r="AE90" s="342">
        <f t="shared" si="26"/>
        <v>0</v>
      </c>
      <c r="AF90" s="342">
        <f t="shared" si="26"/>
        <v>0</v>
      </c>
      <c r="AG90" s="342">
        <f t="shared" si="26"/>
        <v>0</v>
      </c>
      <c r="AH90" s="342">
        <f t="shared" si="26"/>
        <v>0</v>
      </c>
      <c r="AI90" s="342">
        <f t="shared" si="26"/>
        <v>0</v>
      </c>
      <c r="AJ90" s="342">
        <f t="shared" si="26"/>
        <v>0</v>
      </c>
      <c r="AK90" s="342">
        <f t="shared" si="26"/>
        <v>0</v>
      </c>
      <c r="AL90" s="342">
        <f t="shared" si="26"/>
        <v>0</v>
      </c>
      <c r="AM90" s="342">
        <f t="shared" si="26"/>
        <v>0</v>
      </c>
      <c r="AN90" s="342">
        <f t="shared" si="26"/>
        <v>0</v>
      </c>
      <c r="AO90" s="342">
        <f t="shared" si="26"/>
        <v>0</v>
      </c>
      <c r="AP90" s="342">
        <f t="shared" si="26"/>
        <v>0</v>
      </c>
      <c r="AQ90" s="342">
        <f t="shared" si="26"/>
        <v>0</v>
      </c>
      <c r="AR90" s="342">
        <f t="shared" si="26"/>
        <v>0</v>
      </c>
      <c r="AS90" s="342">
        <f t="shared" si="26"/>
        <v>0</v>
      </c>
    </row>
    <row r="91" spans="1:45" ht="32.1" hidden="1" customHeight="1" outlineLevel="1">
      <c r="A91" s="460"/>
      <c r="B91" s="9" t="s">
        <v>30</v>
      </c>
      <c r="C91" s="274">
        <f>IF(AND($C$3=$C$4,C5=DetailedList),(COUNTIF('Inputs - List of Trees'!$F$9:$F$108,SOFT_LANDSCAPE)),0)</f>
        <v>0</v>
      </c>
      <c r="D91" s="30">
        <f>IF(AND($C$3=$C$4,$C$5=DetailedList),'Option 3 - Cost Data LookUp'!G90,0)</f>
        <v>0</v>
      </c>
      <c r="E91" s="271">
        <f>'Input - General and Overview'!$G$24-'Input - General and Overview'!$C$4</f>
        <v>3</v>
      </c>
      <c r="F91" s="271">
        <f>'Input - General and Overview'!$C$5-'Input - General and Overview'!$C$4</f>
        <v>30</v>
      </c>
      <c r="H91" s="343">
        <f>SUM(J91:EJ91)</f>
        <v>0</v>
      </c>
      <c r="I91" s="216"/>
      <c r="J91" s="342">
        <f t="shared" ref="J91:J93" si="27">-IF(AND(MOD(J$2,$F$89)=0,J$2&gt;$E91,J$2&lt;$F91),($D91*$C91)*J$4,0)</f>
        <v>0</v>
      </c>
      <c r="K91" s="342">
        <f t="shared" si="26"/>
        <v>0</v>
      </c>
      <c r="L91" s="342">
        <f t="shared" si="26"/>
        <v>0</v>
      </c>
      <c r="M91" s="342">
        <f t="shared" si="26"/>
        <v>0</v>
      </c>
      <c r="N91" s="342">
        <f t="shared" si="26"/>
        <v>0</v>
      </c>
      <c r="O91" s="342">
        <f t="shared" si="26"/>
        <v>0</v>
      </c>
      <c r="P91" s="342">
        <f t="shared" si="26"/>
        <v>0</v>
      </c>
      <c r="Q91" s="342">
        <f t="shared" si="26"/>
        <v>0</v>
      </c>
      <c r="R91" s="342">
        <f t="shared" si="26"/>
        <v>0</v>
      </c>
      <c r="S91" s="342">
        <f t="shared" si="26"/>
        <v>0</v>
      </c>
      <c r="T91" s="342">
        <f t="shared" si="26"/>
        <v>0</v>
      </c>
      <c r="U91" s="342">
        <f t="shared" si="26"/>
        <v>0</v>
      </c>
      <c r="V91" s="342">
        <f t="shared" si="26"/>
        <v>0</v>
      </c>
      <c r="W91" s="342">
        <f t="shared" si="26"/>
        <v>0</v>
      </c>
      <c r="X91" s="342">
        <f t="shared" si="26"/>
        <v>0</v>
      </c>
      <c r="Y91" s="342">
        <f t="shared" si="26"/>
        <v>0</v>
      </c>
      <c r="Z91" s="342">
        <f t="shared" si="26"/>
        <v>0</v>
      </c>
      <c r="AA91" s="342">
        <f t="shared" si="26"/>
        <v>0</v>
      </c>
      <c r="AB91" s="342">
        <f t="shared" si="26"/>
        <v>0</v>
      </c>
      <c r="AC91" s="342">
        <f t="shared" si="26"/>
        <v>0</v>
      </c>
      <c r="AD91" s="342">
        <f t="shared" si="26"/>
        <v>0</v>
      </c>
      <c r="AE91" s="342">
        <f t="shared" si="26"/>
        <v>0</v>
      </c>
      <c r="AF91" s="342">
        <f t="shared" si="26"/>
        <v>0</v>
      </c>
      <c r="AG91" s="342">
        <f t="shared" si="26"/>
        <v>0</v>
      </c>
      <c r="AH91" s="342">
        <f t="shared" si="26"/>
        <v>0</v>
      </c>
      <c r="AI91" s="342">
        <f t="shared" si="26"/>
        <v>0</v>
      </c>
      <c r="AJ91" s="342">
        <f t="shared" si="26"/>
        <v>0</v>
      </c>
      <c r="AK91" s="342">
        <f t="shared" si="26"/>
        <v>0</v>
      </c>
      <c r="AL91" s="342">
        <f t="shared" si="26"/>
        <v>0</v>
      </c>
      <c r="AM91" s="342">
        <f t="shared" si="26"/>
        <v>0</v>
      </c>
      <c r="AN91" s="342">
        <f t="shared" si="26"/>
        <v>0</v>
      </c>
      <c r="AO91" s="342">
        <f t="shared" si="26"/>
        <v>0</v>
      </c>
      <c r="AP91" s="342">
        <f t="shared" si="26"/>
        <v>0</v>
      </c>
      <c r="AQ91" s="342">
        <f t="shared" si="26"/>
        <v>0</v>
      </c>
      <c r="AR91" s="342">
        <f t="shared" si="26"/>
        <v>0</v>
      </c>
      <c r="AS91" s="342">
        <f t="shared" si="26"/>
        <v>0</v>
      </c>
    </row>
    <row r="92" spans="1:45" ht="32.1" hidden="1" customHeight="1" outlineLevel="1">
      <c r="A92" s="460" t="str">
        <f>BulkNumber</f>
        <v>Bulk number of trees</v>
      </c>
      <c r="B92" s="9" t="s">
        <v>353</v>
      </c>
      <c r="C92" s="274">
        <f>IF(AND($C$3=$C$4,$C$5=BulkNumber,$C$7=$B92),$C$6,0)</f>
        <v>0</v>
      </c>
      <c r="D92" s="30">
        <f>IF(AND($C$3=$C$4,$C$5=BulkNumber,$C$7=$B92),'Option 3 - Cost Data LookUp'!G89,0)</f>
        <v>0</v>
      </c>
      <c r="E92" s="271">
        <f>'Input - General and Overview'!$G$24-'Input - General and Overview'!$C$4</f>
        <v>3</v>
      </c>
      <c r="F92" s="271">
        <f>'Input - General and Overview'!$C$5-'Input - General and Overview'!$C$4</f>
        <v>30</v>
      </c>
      <c r="H92" s="343">
        <f>SUM(J92:EJ92)</f>
        <v>0</v>
      </c>
      <c r="I92" s="216"/>
      <c r="J92" s="342">
        <f t="shared" si="27"/>
        <v>0</v>
      </c>
      <c r="K92" s="342">
        <f t="shared" si="26"/>
        <v>0</v>
      </c>
      <c r="L92" s="342">
        <f t="shared" si="26"/>
        <v>0</v>
      </c>
      <c r="M92" s="342">
        <f t="shared" si="26"/>
        <v>0</v>
      </c>
      <c r="N92" s="342">
        <f t="shared" si="26"/>
        <v>0</v>
      </c>
      <c r="O92" s="342">
        <f t="shared" si="26"/>
        <v>0</v>
      </c>
      <c r="P92" s="342">
        <f t="shared" si="26"/>
        <v>0</v>
      </c>
      <c r="Q92" s="342">
        <f t="shared" si="26"/>
        <v>0</v>
      </c>
      <c r="R92" s="342">
        <f t="shared" si="26"/>
        <v>0</v>
      </c>
      <c r="S92" s="342">
        <f t="shared" si="26"/>
        <v>0</v>
      </c>
      <c r="T92" s="342">
        <f t="shared" si="26"/>
        <v>0</v>
      </c>
      <c r="U92" s="342">
        <f t="shared" si="26"/>
        <v>0</v>
      </c>
      <c r="V92" s="342">
        <f t="shared" si="26"/>
        <v>0</v>
      </c>
      <c r="W92" s="342">
        <f t="shared" si="26"/>
        <v>0</v>
      </c>
      <c r="X92" s="342">
        <f t="shared" si="26"/>
        <v>0</v>
      </c>
      <c r="Y92" s="342">
        <f t="shared" si="26"/>
        <v>0</v>
      </c>
      <c r="Z92" s="342">
        <f t="shared" si="26"/>
        <v>0</v>
      </c>
      <c r="AA92" s="342">
        <f t="shared" si="26"/>
        <v>0</v>
      </c>
      <c r="AB92" s="342">
        <f t="shared" si="26"/>
        <v>0</v>
      </c>
      <c r="AC92" s="342">
        <f t="shared" si="26"/>
        <v>0</v>
      </c>
      <c r="AD92" s="342">
        <f t="shared" si="26"/>
        <v>0</v>
      </c>
      <c r="AE92" s="342">
        <f t="shared" si="26"/>
        <v>0</v>
      </c>
      <c r="AF92" s="342">
        <f t="shared" si="26"/>
        <v>0</v>
      </c>
      <c r="AG92" s="342">
        <f t="shared" si="26"/>
        <v>0</v>
      </c>
      <c r="AH92" s="342">
        <f t="shared" si="26"/>
        <v>0</v>
      </c>
      <c r="AI92" s="342">
        <f t="shared" si="26"/>
        <v>0</v>
      </c>
      <c r="AJ92" s="342">
        <f t="shared" si="26"/>
        <v>0</v>
      </c>
      <c r="AK92" s="342">
        <f t="shared" si="26"/>
        <v>0</v>
      </c>
      <c r="AL92" s="342">
        <f t="shared" si="26"/>
        <v>0</v>
      </c>
      <c r="AM92" s="342">
        <f t="shared" si="26"/>
        <v>0</v>
      </c>
      <c r="AN92" s="342">
        <f t="shared" si="26"/>
        <v>0</v>
      </c>
      <c r="AO92" s="342">
        <f t="shared" si="26"/>
        <v>0</v>
      </c>
      <c r="AP92" s="342">
        <f t="shared" si="26"/>
        <v>0</v>
      </c>
      <c r="AQ92" s="342">
        <f t="shared" si="26"/>
        <v>0</v>
      </c>
      <c r="AR92" s="342">
        <f t="shared" si="26"/>
        <v>0</v>
      </c>
      <c r="AS92" s="342">
        <f t="shared" si="26"/>
        <v>0</v>
      </c>
    </row>
    <row r="93" spans="1:45" ht="32.1" hidden="1" customHeight="1" outlineLevel="1">
      <c r="A93" s="460"/>
      <c r="B93" s="9" t="s">
        <v>30</v>
      </c>
      <c r="C93" s="274">
        <f>IF(AND($C$3=$C$4,$C$5=BulkNumber,$C$7=$B93),$C$6,0)</f>
        <v>0</v>
      </c>
      <c r="D93" s="30">
        <f>IF(AND($C$3=$C$4,$C$5=BulkNumber,$C$7=$B93),'Option 3 - Cost Data LookUp'!G90,0)</f>
        <v>0</v>
      </c>
      <c r="E93" s="271">
        <f>'Input - General and Overview'!$G$24-'Input - General and Overview'!$C$4</f>
        <v>3</v>
      </c>
      <c r="F93" s="271">
        <f>'Input - General and Overview'!$C$5-'Input - General and Overview'!$C$4</f>
        <v>30</v>
      </c>
      <c r="H93" s="343">
        <f>SUM(J93:EJ93)</f>
        <v>0</v>
      </c>
      <c r="I93" s="216"/>
      <c r="J93" s="342">
        <f t="shared" si="27"/>
        <v>0</v>
      </c>
      <c r="K93" s="342">
        <f t="shared" si="26"/>
        <v>0</v>
      </c>
      <c r="L93" s="342">
        <f t="shared" si="26"/>
        <v>0</v>
      </c>
      <c r="M93" s="342">
        <f t="shared" si="26"/>
        <v>0</v>
      </c>
      <c r="N93" s="342">
        <f t="shared" si="26"/>
        <v>0</v>
      </c>
      <c r="O93" s="342">
        <f t="shared" si="26"/>
        <v>0</v>
      </c>
      <c r="P93" s="342">
        <f>-IF(AND(MOD(P$2,$F$89)=0,P$2&gt;$E93,P$2&lt;$F93),($D93*$C93)*P$4,0)</f>
        <v>0</v>
      </c>
      <c r="Q93" s="342">
        <f t="shared" si="26"/>
        <v>0</v>
      </c>
      <c r="R93" s="342">
        <f t="shared" si="26"/>
        <v>0</v>
      </c>
      <c r="S93" s="342">
        <f t="shared" si="26"/>
        <v>0</v>
      </c>
      <c r="T93" s="342">
        <f t="shared" si="26"/>
        <v>0</v>
      </c>
      <c r="U93" s="342">
        <f t="shared" si="26"/>
        <v>0</v>
      </c>
      <c r="V93" s="342">
        <f t="shared" si="26"/>
        <v>0</v>
      </c>
      <c r="W93" s="342">
        <f t="shared" si="26"/>
        <v>0</v>
      </c>
      <c r="X93" s="342">
        <f t="shared" si="26"/>
        <v>0</v>
      </c>
      <c r="Y93" s="342">
        <f t="shared" si="26"/>
        <v>0</v>
      </c>
      <c r="Z93" s="342">
        <f t="shared" si="26"/>
        <v>0</v>
      </c>
      <c r="AA93" s="342">
        <f t="shared" si="26"/>
        <v>0</v>
      </c>
      <c r="AB93" s="342">
        <f t="shared" si="26"/>
        <v>0</v>
      </c>
      <c r="AC93" s="342">
        <f t="shared" si="26"/>
        <v>0</v>
      </c>
      <c r="AD93" s="342">
        <f t="shared" si="26"/>
        <v>0</v>
      </c>
      <c r="AE93" s="342">
        <f t="shared" si="26"/>
        <v>0</v>
      </c>
      <c r="AF93" s="342">
        <f t="shared" si="26"/>
        <v>0</v>
      </c>
      <c r="AG93" s="342">
        <f t="shared" si="26"/>
        <v>0</v>
      </c>
      <c r="AH93" s="342">
        <f t="shared" si="26"/>
        <v>0</v>
      </c>
      <c r="AI93" s="342">
        <f t="shared" si="26"/>
        <v>0</v>
      </c>
      <c r="AJ93" s="342">
        <f t="shared" si="26"/>
        <v>0</v>
      </c>
      <c r="AK93" s="342">
        <f t="shared" si="26"/>
        <v>0</v>
      </c>
      <c r="AL93" s="342">
        <f t="shared" si="26"/>
        <v>0</v>
      </c>
      <c r="AM93" s="342">
        <f t="shared" si="26"/>
        <v>0</v>
      </c>
      <c r="AN93" s="342">
        <f t="shared" si="26"/>
        <v>0</v>
      </c>
      <c r="AO93" s="342">
        <f t="shared" si="26"/>
        <v>0</v>
      </c>
      <c r="AP93" s="342">
        <f t="shared" si="26"/>
        <v>0</v>
      </c>
      <c r="AQ93" s="342">
        <f t="shared" si="26"/>
        <v>0</v>
      </c>
      <c r="AR93" s="342">
        <f t="shared" si="26"/>
        <v>0</v>
      </c>
      <c r="AS93" s="342">
        <f t="shared" si="26"/>
        <v>0</v>
      </c>
    </row>
    <row r="94" spans="1:45" hidden="1" outlineLevel="1">
      <c r="H94" s="53"/>
      <c r="I94" s="216"/>
    </row>
    <row r="95" spans="1:45" hidden="1" outlineLevel="1">
      <c r="A95" s="15"/>
      <c r="B95" s="16" t="s">
        <v>370</v>
      </c>
      <c r="C95" s="12"/>
      <c r="D95" s="12"/>
      <c r="E95" s="12"/>
      <c r="F95" s="12"/>
      <c r="G95" s="12"/>
      <c r="H95" s="286">
        <f>SUM(H90:H93,H80:H86)</f>
        <v>0</v>
      </c>
      <c r="I95" s="299"/>
      <c r="J95" s="209">
        <f>SUM(J90:J93,J80:J86)</f>
        <v>0</v>
      </c>
      <c r="K95" s="209">
        <f>SUM(K90:K93,K80:K86)</f>
        <v>0</v>
      </c>
      <c r="L95" s="209">
        <f t="shared" ref="L95:AS95" si="28">SUM(L90:L93,L80:L86)</f>
        <v>0</v>
      </c>
      <c r="M95" s="209">
        <f t="shared" si="28"/>
        <v>0</v>
      </c>
      <c r="N95" s="209">
        <f t="shared" si="28"/>
        <v>0</v>
      </c>
      <c r="O95" s="209">
        <f t="shared" si="28"/>
        <v>0</v>
      </c>
      <c r="P95" s="209">
        <f t="shared" si="28"/>
        <v>0</v>
      </c>
      <c r="Q95" s="209">
        <f t="shared" si="28"/>
        <v>0</v>
      </c>
      <c r="R95" s="209">
        <f t="shared" si="28"/>
        <v>0</v>
      </c>
      <c r="S95" s="209">
        <f t="shared" si="28"/>
        <v>0</v>
      </c>
      <c r="T95" s="209">
        <f t="shared" si="28"/>
        <v>0</v>
      </c>
      <c r="U95" s="209">
        <f t="shared" si="28"/>
        <v>0</v>
      </c>
      <c r="V95" s="209">
        <f t="shared" si="28"/>
        <v>0</v>
      </c>
      <c r="W95" s="209">
        <f t="shared" si="28"/>
        <v>0</v>
      </c>
      <c r="X95" s="209">
        <f t="shared" si="28"/>
        <v>0</v>
      </c>
      <c r="Y95" s="209">
        <f t="shared" si="28"/>
        <v>0</v>
      </c>
      <c r="Z95" s="209">
        <f t="shared" si="28"/>
        <v>0</v>
      </c>
      <c r="AA95" s="209">
        <f t="shared" si="28"/>
        <v>0</v>
      </c>
      <c r="AB95" s="209">
        <f t="shared" si="28"/>
        <v>0</v>
      </c>
      <c r="AC95" s="209">
        <f t="shared" si="28"/>
        <v>0</v>
      </c>
      <c r="AD95" s="209">
        <f t="shared" si="28"/>
        <v>0</v>
      </c>
      <c r="AE95" s="209">
        <f t="shared" si="28"/>
        <v>0</v>
      </c>
      <c r="AF95" s="209">
        <f t="shared" si="28"/>
        <v>0</v>
      </c>
      <c r="AG95" s="209">
        <f t="shared" si="28"/>
        <v>0</v>
      </c>
      <c r="AH95" s="209">
        <f t="shared" si="28"/>
        <v>0</v>
      </c>
      <c r="AI95" s="209">
        <f t="shared" si="28"/>
        <v>0</v>
      </c>
      <c r="AJ95" s="209">
        <f t="shared" si="28"/>
        <v>0</v>
      </c>
      <c r="AK95" s="209">
        <f t="shared" si="28"/>
        <v>0</v>
      </c>
      <c r="AL95" s="209">
        <f t="shared" si="28"/>
        <v>0</v>
      </c>
      <c r="AM95" s="209">
        <f t="shared" si="28"/>
        <v>0</v>
      </c>
      <c r="AN95" s="209">
        <f t="shared" si="28"/>
        <v>0</v>
      </c>
      <c r="AO95" s="209">
        <f t="shared" si="28"/>
        <v>0</v>
      </c>
      <c r="AP95" s="209">
        <f t="shared" si="28"/>
        <v>0</v>
      </c>
      <c r="AQ95" s="209">
        <f t="shared" si="28"/>
        <v>0</v>
      </c>
      <c r="AR95" s="209">
        <f t="shared" si="28"/>
        <v>0</v>
      </c>
      <c r="AS95" s="209">
        <f t="shared" si="28"/>
        <v>0</v>
      </c>
    </row>
    <row r="96" spans="1:45" collapsed="1">
      <c r="H96" s="394"/>
    </row>
    <row r="97" spans="1:140" ht="21">
      <c r="A97" s="239" t="s">
        <v>371</v>
      </c>
      <c r="B97" s="240"/>
      <c r="C97" s="240"/>
      <c r="D97" s="240"/>
      <c r="E97" s="240"/>
      <c r="F97" s="240"/>
      <c r="G97" s="240"/>
      <c r="H97" s="240"/>
      <c r="I97" s="240"/>
      <c r="J97" s="240"/>
      <c r="K97" s="240"/>
      <c r="L97" s="240"/>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240"/>
      <c r="AJ97" s="240"/>
      <c r="AK97" s="240"/>
      <c r="AL97" s="240"/>
      <c r="AM97" s="240"/>
      <c r="AN97" s="240"/>
      <c r="AO97" s="240"/>
      <c r="AP97" s="240"/>
      <c r="AQ97" s="240"/>
      <c r="AR97" s="240"/>
      <c r="AS97" s="240"/>
    </row>
    <row r="98" spans="1:140" hidden="1" outlineLevel="1">
      <c r="H98" s="53"/>
    </row>
    <row r="99" spans="1:140" hidden="1" outlineLevel="1">
      <c r="B99" s="9" t="s">
        <v>340</v>
      </c>
      <c r="C99" s="326">
        <f>IF(C3=C4,'Summary Sheet'!C15,0)</f>
        <v>0</v>
      </c>
      <c r="D99" s="325">
        <f>J2</f>
        <v>0</v>
      </c>
      <c r="E99" s="325">
        <f>J2</f>
        <v>0</v>
      </c>
      <c r="H99" s="343">
        <f>SUM(J99:AS99)</f>
        <v>0</v>
      </c>
      <c r="I99" s="211"/>
      <c r="J99" s="224">
        <f>-(IF(AND(J$2&gt;=$D99,J$2&lt;=$E99),$C99,0))</f>
        <v>0</v>
      </c>
      <c r="K99" s="224">
        <f t="shared" ref="K99:AN99" si="29">(IF(AND(K$2&gt;=$D99,K$2&lt;=$E99),$C99,0))</f>
        <v>0</v>
      </c>
      <c r="L99" s="224">
        <f t="shared" si="29"/>
        <v>0</v>
      </c>
      <c r="M99" s="224">
        <f t="shared" si="29"/>
        <v>0</v>
      </c>
      <c r="N99" s="224">
        <f>(IF(AND(N$2&gt;=$D99,N$2&lt;=$E99),$C99,0))</f>
        <v>0</v>
      </c>
      <c r="O99" s="224">
        <f t="shared" si="29"/>
        <v>0</v>
      </c>
      <c r="P99" s="224">
        <f t="shared" si="29"/>
        <v>0</v>
      </c>
      <c r="Q99" s="224">
        <f t="shared" si="29"/>
        <v>0</v>
      </c>
      <c r="R99" s="224">
        <f t="shared" si="29"/>
        <v>0</v>
      </c>
      <c r="S99" s="224">
        <f t="shared" si="29"/>
        <v>0</v>
      </c>
      <c r="T99" s="224">
        <f t="shared" si="29"/>
        <v>0</v>
      </c>
      <c r="U99" s="224">
        <f t="shared" si="29"/>
        <v>0</v>
      </c>
      <c r="V99" s="224">
        <f t="shared" si="29"/>
        <v>0</v>
      </c>
      <c r="W99" s="224">
        <f t="shared" si="29"/>
        <v>0</v>
      </c>
      <c r="X99" s="224">
        <f t="shared" si="29"/>
        <v>0</v>
      </c>
      <c r="Y99" s="224">
        <f t="shared" si="29"/>
        <v>0</v>
      </c>
      <c r="Z99" s="224">
        <f t="shared" si="29"/>
        <v>0</v>
      </c>
      <c r="AA99" s="224">
        <f t="shared" si="29"/>
        <v>0</v>
      </c>
      <c r="AB99" s="224">
        <f t="shared" si="29"/>
        <v>0</v>
      </c>
      <c r="AC99" s="224">
        <f t="shared" si="29"/>
        <v>0</v>
      </c>
      <c r="AD99" s="224">
        <f t="shared" si="29"/>
        <v>0</v>
      </c>
      <c r="AE99" s="224">
        <f t="shared" si="29"/>
        <v>0</v>
      </c>
      <c r="AF99" s="224">
        <f t="shared" si="29"/>
        <v>0</v>
      </c>
      <c r="AG99" s="224">
        <f t="shared" si="29"/>
        <v>0</v>
      </c>
      <c r="AH99" s="224">
        <f t="shared" si="29"/>
        <v>0</v>
      </c>
      <c r="AI99" s="224">
        <f t="shared" si="29"/>
        <v>0</v>
      </c>
      <c r="AJ99" s="224">
        <f t="shared" si="29"/>
        <v>0</v>
      </c>
      <c r="AK99" s="224">
        <f t="shared" si="29"/>
        <v>0</v>
      </c>
      <c r="AL99" s="224">
        <f t="shared" si="29"/>
        <v>0</v>
      </c>
      <c r="AM99" s="224">
        <f t="shared" si="29"/>
        <v>0</v>
      </c>
      <c r="AN99" s="224">
        <f t="shared" si="29"/>
        <v>0</v>
      </c>
    </row>
    <row r="100" spans="1:140" hidden="1" outlineLevel="1">
      <c r="B100" s="9" t="s">
        <v>341</v>
      </c>
      <c r="C100" s="326">
        <f>IF(C3=C4,'Summary Sheet'!#REF!,0)</f>
        <v>0</v>
      </c>
      <c r="D100" s="322">
        <v>5</v>
      </c>
      <c r="H100" s="343">
        <f>SUM(J100:AS100)</f>
        <v>0</v>
      </c>
      <c r="I100" s="211"/>
      <c r="J100" s="224">
        <f>(IF(AND(J$2&gt;=$D100,J$2&lt;=$D100),$C100,0))</f>
        <v>0</v>
      </c>
      <c r="K100" s="224">
        <f t="shared" ref="K100:AN100" si="30">(IF(AND(K$2&gt;=$D100,K$2&lt;=$D100),$C100,0))</f>
        <v>0</v>
      </c>
      <c r="L100" s="224">
        <f t="shared" si="30"/>
        <v>0</v>
      </c>
      <c r="M100" s="224">
        <f t="shared" si="30"/>
        <v>0</v>
      </c>
      <c r="N100" s="224">
        <f t="shared" si="30"/>
        <v>0</v>
      </c>
      <c r="O100" s="224">
        <f t="shared" si="30"/>
        <v>0</v>
      </c>
      <c r="P100" s="224">
        <f t="shared" si="30"/>
        <v>0</v>
      </c>
      <c r="Q100" s="224">
        <f t="shared" si="30"/>
        <v>0</v>
      </c>
      <c r="R100" s="224">
        <f t="shared" si="30"/>
        <v>0</v>
      </c>
      <c r="S100" s="224">
        <f t="shared" si="30"/>
        <v>0</v>
      </c>
      <c r="T100" s="224">
        <f t="shared" si="30"/>
        <v>0</v>
      </c>
      <c r="U100" s="224">
        <f t="shared" si="30"/>
        <v>0</v>
      </c>
      <c r="V100" s="224">
        <f t="shared" si="30"/>
        <v>0</v>
      </c>
      <c r="W100" s="224">
        <f t="shared" si="30"/>
        <v>0</v>
      </c>
      <c r="X100" s="224">
        <f t="shared" si="30"/>
        <v>0</v>
      </c>
      <c r="Y100" s="224">
        <f t="shared" si="30"/>
        <v>0</v>
      </c>
      <c r="Z100" s="224">
        <f t="shared" si="30"/>
        <v>0</v>
      </c>
      <c r="AA100" s="224">
        <f t="shared" si="30"/>
        <v>0</v>
      </c>
      <c r="AB100" s="224">
        <f t="shared" si="30"/>
        <v>0</v>
      </c>
      <c r="AC100" s="224">
        <f t="shared" si="30"/>
        <v>0</v>
      </c>
      <c r="AD100" s="224">
        <f t="shared" si="30"/>
        <v>0</v>
      </c>
      <c r="AE100" s="224">
        <f t="shared" si="30"/>
        <v>0</v>
      </c>
      <c r="AF100" s="224">
        <f t="shared" si="30"/>
        <v>0</v>
      </c>
      <c r="AG100" s="224">
        <f t="shared" si="30"/>
        <v>0</v>
      </c>
      <c r="AH100" s="224">
        <f t="shared" si="30"/>
        <v>0</v>
      </c>
      <c r="AI100" s="224">
        <f t="shared" si="30"/>
        <v>0</v>
      </c>
      <c r="AJ100" s="224">
        <f t="shared" si="30"/>
        <v>0</v>
      </c>
      <c r="AK100" s="224">
        <f t="shared" si="30"/>
        <v>0</v>
      </c>
      <c r="AL100" s="224">
        <f t="shared" si="30"/>
        <v>0</v>
      </c>
      <c r="AM100" s="224">
        <f t="shared" si="30"/>
        <v>0</v>
      </c>
      <c r="AN100" s="224">
        <f t="shared" si="30"/>
        <v>0</v>
      </c>
    </row>
    <row r="101" spans="1:140" hidden="1" outlineLevel="1">
      <c r="H101" s="226"/>
      <c r="I101" s="211"/>
      <c r="J101" s="224"/>
      <c r="K101" s="224"/>
      <c r="L101" s="224"/>
      <c r="M101" s="224"/>
      <c r="N101" s="224"/>
      <c r="O101" s="224"/>
      <c r="P101" s="224"/>
      <c r="Q101" s="224"/>
      <c r="R101" s="224"/>
      <c r="S101" s="224"/>
      <c r="T101" s="224"/>
      <c r="U101" s="224"/>
      <c r="V101" s="224"/>
      <c r="W101" s="224"/>
      <c r="X101" s="224"/>
      <c r="Y101" s="224"/>
      <c r="Z101" s="224"/>
      <c r="AA101" s="224"/>
      <c r="AB101" s="224"/>
      <c r="AC101" s="224"/>
      <c r="AD101" s="224"/>
      <c r="AE101" s="224"/>
      <c r="AF101" s="224"/>
      <c r="AG101" s="224"/>
      <c r="AH101" s="224"/>
      <c r="AI101" s="224"/>
      <c r="AJ101" s="224"/>
      <c r="AK101" s="224"/>
      <c r="AL101" s="224"/>
      <c r="AM101" s="224"/>
      <c r="AN101" s="224"/>
    </row>
    <row r="102" spans="1:140" hidden="1" outlineLevel="1">
      <c r="A102" s="15"/>
      <c r="B102" s="16" t="s">
        <v>372</v>
      </c>
      <c r="C102" s="12"/>
      <c r="D102" s="12"/>
      <c r="E102" s="12"/>
      <c r="F102" s="12"/>
      <c r="G102" s="12"/>
      <c r="H102" s="286">
        <f>SUM(H99:H100)</f>
        <v>0</v>
      </c>
      <c r="I102" s="299"/>
      <c r="J102" s="209">
        <f>SUM(J99:J100)</f>
        <v>0</v>
      </c>
      <c r="K102" s="209">
        <f t="shared" ref="K102:AS102" si="31">SUM(K99:K100)</f>
        <v>0</v>
      </c>
      <c r="L102" s="209">
        <f t="shared" si="31"/>
        <v>0</v>
      </c>
      <c r="M102" s="209">
        <f t="shared" si="31"/>
        <v>0</v>
      </c>
      <c r="N102" s="209">
        <f t="shared" si="31"/>
        <v>0</v>
      </c>
      <c r="O102" s="209">
        <f t="shared" si="31"/>
        <v>0</v>
      </c>
      <c r="P102" s="209">
        <f t="shared" si="31"/>
        <v>0</v>
      </c>
      <c r="Q102" s="209">
        <f t="shared" si="31"/>
        <v>0</v>
      </c>
      <c r="R102" s="209">
        <f t="shared" si="31"/>
        <v>0</v>
      </c>
      <c r="S102" s="209">
        <f t="shared" si="31"/>
        <v>0</v>
      </c>
      <c r="T102" s="209">
        <f t="shared" si="31"/>
        <v>0</v>
      </c>
      <c r="U102" s="209">
        <f t="shared" si="31"/>
        <v>0</v>
      </c>
      <c r="V102" s="209">
        <f t="shared" si="31"/>
        <v>0</v>
      </c>
      <c r="W102" s="209">
        <f t="shared" si="31"/>
        <v>0</v>
      </c>
      <c r="X102" s="209">
        <f t="shared" si="31"/>
        <v>0</v>
      </c>
      <c r="Y102" s="209">
        <f t="shared" si="31"/>
        <v>0</v>
      </c>
      <c r="Z102" s="209">
        <f t="shared" si="31"/>
        <v>0</v>
      </c>
      <c r="AA102" s="209">
        <f t="shared" si="31"/>
        <v>0</v>
      </c>
      <c r="AB102" s="209">
        <f t="shared" si="31"/>
        <v>0</v>
      </c>
      <c r="AC102" s="209">
        <f t="shared" si="31"/>
        <v>0</v>
      </c>
      <c r="AD102" s="209">
        <f t="shared" si="31"/>
        <v>0</v>
      </c>
      <c r="AE102" s="209">
        <f t="shared" si="31"/>
        <v>0</v>
      </c>
      <c r="AF102" s="209">
        <f t="shared" si="31"/>
        <v>0</v>
      </c>
      <c r="AG102" s="209">
        <f t="shared" si="31"/>
        <v>0</v>
      </c>
      <c r="AH102" s="209">
        <f t="shared" si="31"/>
        <v>0</v>
      </c>
      <c r="AI102" s="209">
        <f t="shared" si="31"/>
        <v>0</v>
      </c>
      <c r="AJ102" s="209">
        <f t="shared" si="31"/>
        <v>0</v>
      </c>
      <c r="AK102" s="209">
        <f t="shared" si="31"/>
        <v>0</v>
      </c>
      <c r="AL102" s="209">
        <f t="shared" si="31"/>
        <v>0</v>
      </c>
      <c r="AM102" s="209">
        <f t="shared" si="31"/>
        <v>0</v>
      </c>
      <c r="AN102" s="209">
        <f t="shared" si="31"/>
        <v>0</v>
      </c>
      <c r="AO102" s="209">
        <f t="shared" si="31"/>
        <v>0</v>
      </c>
      <c r="AP102" s="209">
        <f t="shared" si="31"/>
        <v>0</v>
      </c>
      <c r="AQ102" s="209">
        <f t="shared" si="31"/>
        <v>0</v>
      </c>
      <c r="AR102" s="209">
        <f t="shared" si="31"/>
        <v>0</v>
      </c>
      <c r="AS102" s="209">
        <f t="shared" si="31"/>
        <v>0</v>
      </c>
    </row>
    <row r="103" spans="1:140" collapsed="1">
      <c r="H103" s="53"/>
      <c r="I103" s="216"/>
    </row>
    <row r="104" spans="1:140" s="225" customFormat="1">
      <c r="B104" s="225" t="s">
        <v>343</v>
      </c>
      <c r="H104" s="259">
        <f>SUM(H95,H73,H61,H43,H21,H102)</f>
        <v>0</v>
      </c>
      <c r="I104" s="214"/>
      <c r="J104" s="225">
        <f t="shared" ref="J104:AS104" si="32">SUM(J95,J73,J61,J43,J21,J102)</f>
        <v>0</v>
      </c>
      <c r="K104" s="225">
        <f t="shared" si="32"/>
        <v>0</v>
      </c>
      <c r="L104" s="225">
        <f t="shared" si="32"/>
        <v>0</v>
      </c>
      <c r="M104" s="225">
        <f t="shared" si="32"/>
        <v>0</v>
      </c>
      <c r="N104" s="225">
        <f>SUM(N95,N73,N61,N43,N21,N102)</f>
        <v>0</v>
      </c>
      <c r="O104" s="225">
        <f t="shared" si="32"/>
        <v>0</v>
      </c>
      <c r="P104" s="225">
        <f t="shared" si="32"/>
        <v>0</v>
      </c>
      <c r="Q104" s="225">
        <f t="shared" si="32"/>
        <v>0</v>
      </c>
      <c r="R104" s="225">
        <f t="shared" si="32"/>
        <v>0</v>
      </c>
      <c r="S104" s="225">
        <f t="shared" si="32"/>
        <v>0</v>
      </c>
      <c r="T104" s="225">
        <f t="shared" si="32"/>
        <v>0</v>
      </c>
      <c r="U104" s="225">
        <f t="shared" si="32"/>
        <v>0</v>
      </c>
      <c r="V104" s="225">
        <f t="shared" si="32"/>
        <v>0</v>
      </c>
      <c r="W104" s="225">
        <f t="shared" si="32"/>
        <v>0</v>
      </c>
      <c r="X104" s="225">
        <f t="shared" si="32"/>
        <v>0</v>
      </c>
      <c r="Y104" s="225">
        <f t="shared" si="32"/>
        <v>0</v>
      </c>
      <c r="Z104" s="225">
        <f t="shared" si="32"/>
        <v>0</v>
      </c>
      <c r="AA104" s="225">
        <f t="shared" si="32"/>
        <v>0</v>
      </c>
      <c r="AB104" s="225">
        <f t="shared" si="32"/>
        <v>0</v>
      </c>
      <c r="AC104" s="225">
        <f t="shared" si="32"/>
        <v>0</v>
      </c>
      <c r="AD104" s="225">
        <f t="shared" si="32"/>
        <v>0</v>
      </c>
      <c r="AE104" s="225">
        <f t="shared" si="32"/>
        <v>0</v>
      </c>
      <c r="AF104" s="225">
        <f t="shared" si="32"/>
        <v>0</v>
      </c>
      <c r="AG104" s="225">
        <f t="shared" si="32"/>
        <v>0</v>
      </c>
      <c r="AH104" s="225">
        <f t="shared" si="32"/>
        <v>0</v>
      </c>
      <c r="AI104" s="225">
        <f t="shared" si="32"/>
        <v>0</v>
      </c>
      <c r="AJ104" s="225">
        <f t="shared" si="32"/>
        <v>0</v>
      </c>
      <c r="AK104" s="225">
        <f t="shared" si="32"/>
        <v>0</v>
      </c>
      <c r="AL104" s="225">
        <f t="shared" si="32"/>
        <v>0</v>
      </c>
      <c r="AM104" s="225">
        <f t="shared" si="32"/>
        <v>0</v>
      </c>
      <c r="AN104" s="225">
        <f t="shared" si="32"/>
        <v>0</v>
      </c>
      <c r="AO104" s="225">
        <f t="shared" si="32"/>
        <v>0</v>
      </c>
      <c r="AP104" s="225">
        <f t="shared" si="32"/>
        <v>0</v>
      </c>
      <c r="AQ104" s="225">
        <f t="shared" si="32"/>
        <v>0</v>
      </c>
      <c r="AR104" s="225">
        <f t="shared" si="32"/>
        <v>0</v>
      </c>
      <c r="AS104" s="225">
        <f t="shared" si="32"/>
        <v>0</v>
      </c>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row>
    <row r="105" spans="1:140">
      <c r="I105" s="216"/>
    </row>
    <row r="404" spans="8:8">
      <c r="H404" s="17"/>
    </row>
    <row r="405" spans="8:8">
      <c r="H405" s="17"/>
    </row>
    <row r="406" spans="8:8">
      <c r="H406" s="17"/>
    </row>
    <row r="407" spans="8:8">
      <c r="H407" s="17"/>
    </row>
    <row r="408" spans="8:8">
      <c r="H408" s="17"/>
    </row>
    <row r="409" spans="8:8">
      <c r="H409" s="17"/>
    </row>
    <row r="410" spans="8:8">
      <c r="H410" s="17"/>
    </row>
    <row r="411" spans="8:8">
      <c r="H411" s="17"/>
    </row>
    <row r="412" spans="8:8">
      <c r="H412" s="17"/>
    </row>
    <row r="413" spans="8:8">
      <c r="H413" s="17"/>
    </row>
    <row r="414" spans="8:8">
      <c r="H414" s="17"/>
    </row>
  </sheetData>
  <mergeCells count="13">
    <mergeCell ref="A90:A91"/>
    <mergeCell ref="A92:A93"/>
    <mergeCell ref="C12:D12"/>
    <mergeCell ref="E70:F70"/>
    <mergeCell ref="C25:D25"/>
    <mergeCell ref="C47:D47"/>
    <mergeCell ref="C77:D77"/>
    <mergeCell ref="A53:A59"/>
    <mergeCell ref="A31:A37"/>
    <mergeCell ref="A26:A29"/>
    <mergeCell ref="A48:A51"/>
    <mergeCell ref="A80:A85"/>
    <mergeCell ref="D88:E8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E230B-9192-426E-ABB4-B756BCDAD220}">
  <sheetPr>
    <tabColor theme="8" tint="0.39997558519241921"/>
  </sheetPr>
  <dimension ref="A1:EI104"/>
  <sheetViews>
    <sheetView showGridLines="0" zoomScale="70" zoomScaleNormal="70" workbookViewId="0">
      <pane ySplit="1" topLeftCell="A2" activePane="bottomLeft" state="frozen"/>
      <selection pane="bottomLeft"/>
      <selection activeCell="A65" sqref="A65:XFD65"/>
    </sheetView>
  </sheetViews>
  <sheetFormatPr defaultRowHeight="14.45" outlineLevelRow="1"/>
  <cols>
    <col min="1" max="1" width="2.7109375" customWidth="1"/>
    <col min="2" max="2" width="2.85546875" customWidth="1"/>
    <col min="3" max="3" width="16.140625" customWidth="1"/>
    <col min="4" max="4" width="136.85546875" bestFit="1" customWidth="1"/>
    <col min="5" max="5" width="18.140625" customWidth="1"/>
    <col min="6" max="6" width="19.140625" bestFit="1" customWidth="1"/>
    <col min="7" max="7" width="21.5703125" customWidth="1"/>
    <col min="8" max="8" width="13.42578125" bestFit="1" customWidth="1"/>
    <col min="9" max="9" width="23" customWidth="1"/>
    <col min="10" max="10" width="19.5703125" bestFit="1" customWidth="1"/>
    <col min="11" max="11" width="19.140625" bestFit="1" customWidth="1"/>
    <col min="12" max="12" width="16.5703125" bestFit="1" customWidth="1"/>
  </cols>
  <sheetData>
    <row r="1" spans="1:139" ht="25.5" thickBot="1">
      <c r="A1" s="262" t="s">
        <v>373</v>
      </c>
      <c r="B1" s="261"/>
      <c r="C1" s="62"/>
      <c r="D1" s="173"/>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row>
    <row r="2" spans="1:139">
      <c r="A2" s="207" t="s">
        <v>374</v>
      </c>
    </row>
    <row r="3" spans="1:139">
      <c r="A3" s="22"/>
    </row>
    <row r="4" spans="1:139" s="106" customFormat="1" ht="26.1">
      <c r="D4" s="174" t="s">
        <v>90</v>
      </c>
      <c r="E4" s="21"/>
      <c r="F4" s="21"/>
      <c r="G4" s="21"/>
      <c r="H4" s="21"/>
      <c r="I4" s="21"/>
      <c r="J4" s="21"/>
      <c r="K4" s="21"/>
      <c r="L4" s="21"/>
      <c r="M4" s="21"/>
      <c r="N4" s="21"/>
      <c r="O4" s="21"/>
      <c r="P4" s="21"/>
      <c r="Q4" s="21"/>
      <c r="R4" s="21"/>
      <c r="S4" s="21"/>
      <c r="T4" s="21"/>
      <c r="U4" s="21"/>
      <c r="V4" s="21"/>
      <c r="W4" s="21"/>
      <c r="X4" s="21"/>
      <c r="Y4" s="21"/>
      <c r="Z4" s="21"/>
    </row>
    <row r="5" spans="1:139" hidden="1" outlineLevel="1"/>
    <row r="6" spans="1:139" hidden="1" outlineLevel="1">
      <c r="J6" s="9" t="s">
        <v>375</v>
      </c>
      <c r="K6" s="9" t="s">
        <v>376</v>
      </c>
      <c r="L6" s="9" t="s">
        <v>377</v>
      </c>
    </row>
    <row r="7" spans="1:139" hidden="1" outlineLevel="1">
      <c r="D7" s="22" t="s">
        <v>378</v>
      </c>
      <c r="J7" s="9">
        <v>260</v>
      </c>
      <c r="K7" s="9">
        <v>8</v>
      </c>
      <c r="L7" s="9">
        <v>60</v>
      </c>
    </row>
    <row r="8" spans="1:139" hidden="1" outlineLevel="1">
      <c r="D8" s="9" t="s">
        <v>379</v>
      </c>
      <c r="E8" s="161" t="s">
        <v>380</v>
      </c>
      <c r="F8" s="9" t="s">
        <v>381</v>
      </c>
      <c r="G8" s="9" t="s">
        <v>382</v>
      </c>
      <c r="H8" s="9" t="s">
        <v>383</v>
      </c>
      <c r="I8" s="9" t="s">
        <v>384</v>
      </c>
      <c r="J8" s="9" t="s">
        <v>385</v>
      </c>
      <c r="K8" s="103" t="s">
        <v>386</v>
      </c>
      <c r="L8" s="9" t="s">
        <v>387</v>
      </c>
    </row>
    <row r="9" spans="1:139" hidden="1" outlineLevel="1">
      <c r="D9" s="9" t="s">
        <v>388</v>
      </c>
      <c r="E9" s="266">
        <v>29059.040590405904</v>
      </c>
      <c r="F9" s="9">
        <v>0.14000000000000001</v>
      </c>
      <c r="G9" s="266">
        <v>9298.8929889298888</v>
      </c>
      <c r="H9" s="266">
        <v>42426.199261992617</v>
      </c>
      <c r="I9" s="266">
        <v>17506.925207756234</v>
      </c>
      <c r="J9" s="266">
        <v>230.51201719134173</v>
      </c>
      <c r="K9" s="266">
        <v>28.814002148917716</v>
      </c>
      <c r="L9" s="266">
        <v>0.48023336914862857</v>
      </c>
    </row>
    <row r="10" spans="1:139" hidden="1" outlineLevel="1">
      <c r="D10" s="9" t="s">
        <v>389</v>
      </c>
      <c r="E10" s="266">
        <v>38764.760147601475</v>
      </c>
      <c r="F10" s="9">
        <v>0.14000000000000001</v>
      </c>
      <c r="G10" s="266">
        <v>9298.8929889298888</v>
      </c>
      <c r="H10" s="266">
        <v>53490.719557195567</v>
      </c>
      <c r="I10" s="266">
        <v>29178.208679593721</v>
      </c>
      <c r="J10" s="266">
        <v>317.95741629534342</v>
      </c>
      <c r="K10" s="266">
        <v>39.744677036917928</v>
      </c>
      <c r="L10" s="266">
        <v>0.66241128394863213</v>
      </c>
    </row>
    <row r="11" spans="1:139" hidden="1" outlineLevel="1">
      <c r="D11" s="9" t="s">
        <v>390</v>
      </c>
      <c r="E11" s="266">
        <v>29059.040590405904</v>
      </c>
      <c r="F11" s="9">
        <v>0.14000000000000001</v>
      </c>
      <c r="G11" s="266">
        <v>9298.8929889298888</v>
      </c>
      <c r="H11" s="266">
        <v>42426.199261992617</v>
      </c>
      <c r="I11" s="266"/>
      <c r="J11" s="266">
        <v>163.17768946920236</v>
      </c>
      <c r="K11" s="266">
        <v>20.397211183650295</v>
      </c>
      <c r="L11" s="266">
        <v>0.33995351972750493</v>
      </c>
    </row>
    <row r="12" spans="1:139" hidden="1" outlineLevel="1">
      <c r="D12" s="9" t="s">
        <v>391</v>
      </c>
      <c r="E12" s="266">
        <v>40682.656826568265</v>
      </c>
      <c r="F12" s="9">
        <v>0.14000000000000001</v>
      </c>
      <c r="G12" s="266">
        <v>9298.8929889298888</v>
      </c>
      <c r="H12" s="266">
        <v>55677.121771217709</v>
      </c>
      <c r="I12" s="266"/>
      <c r="J12" s="266">
        <v>214.14277604314503</v>
      </c>
      <c r="K12" s="266">
        <v>26.767847005393129</v>
      </c>
      <c r="L12" s="266">
        <v>0.44613078342321882</v>
      </c>
    </row>
    <row r="13" spans="1:139" hidden="1" outlineLevel="1">
      <c r="D13" s="9" t="s">
        <v>392</v>
      </c>
      <c r="E13" s="266">
        <v>37195.571955719555</v>
      </c>
      <c r="F13" s="9">
        <v>0.14000000000000001</v>
      </c>
      <c r="G13" s="266">
        <v>9298.8929889298888</v>
      </c>
      <c r="H13" s="266">
        <v>51701.845018450185</v>
      </c>
      <c r="I13" s="266"/>
      <c r="J13" s="266">
        <v>198.85325007096225</v>
      </c>
      <c r="K13" s="266">
        <v>24.856656258870281</v>
      </c>
      <c r="L13" s="266">
        <v>0.41427760431450467</v>
      </c>
    </row>
    <row r="14" spans="1:139" hidden="1" outlineLevel="1">
      <c r="D14" s="9" t="s">
        <v>393</v>
      </c>
      <c r="E14" s="266">
        <v>32429.889298892987</v>
      </c>
      <c r="F14" s="9">
        <v>0.14000000000000001</v>
      </c>
      <c r="G14" s="266">
        <v>9298.8929889298888</v>
      </c>
      <c r="H14" s="266">
        <v>46268.966789667895</v>
      </c>
      <c r="I14" s="266"/>
      <c r="J14" s="266">
        <v>177.95756457564576</v>
      </c>
      <c r="K14" s="266">
        <v>22.24469557195572</v>
      </c>
      <c r="L14" s="266">
        <v>0.37074492619926203</v>
      </c>
    </row>
    <row r="15" spans="1:139" hidden="1" outlineLevel="1">
      <c r="D15" s="9" t="s">
        <v>394</v>
      </c>
      <c r="E15" s="266">
        <v>40682.656826568265</v>
      </c>
      <c r="F15" s="9">
        <v>0.14000000000000001</v>
      </c>
      <c r="G15" s="266">
        <v>9298.8929889298888</v>
      </c>
      <c r="H15" s="266">
        <v>55677.121771217709</v>
      </c>
      <c r="I15" s="266"/>
      <c r="J15" s="266">
        <v>214.14277604314503</v>
      </c>
      <c r="K15" s="266">
        <v>26.767847005393129</v>
      </c>
      <c r="L15" s="266">
        <v>0.44613078342321882</v>
      </c>
    </row>
    <row r="16" spans="1:139" hidden="1" outlineLevel="1">
      <c r="D16" s="9" t="s">
        <v>395</v>
      </c>
      <c r="E16" s="266">
        <v>40682.656826568265</v>
      </c>
      <c r="F16" s="9">
        <v>0.14000000000000001</v>
      </c>
      <c r="G16" s="266">
        <v>9298.8929889298888</v>
      </c>
      <c r="H16" s="266">
        <v>55677.121771217709</v>
      </c>
      <c r="I16" s="266"/>
      <c r="J16" s="266">
        <v>214.14277604314503</v>
      </c>
      <c r="K16" s="266">
        <v>26.767847005393129</v>
      </c>
      <c r="L16" s="266">
        <v>0.44613078342321882</v>
      </c>
    </row>
    <row r="17" spans="1:26" hidden="1" outlineLevel="1">
      <c r="D17" s="9" t="s">
        <v>396</v>
      </c>
      <c r="E17" s="266">
        <v>40682.656826568265</v>
      </c>
      <c r="F17" s="9">
        <v>0.14000000000000001</v>
      </c>
      <c r="G17" s="266">
        <v>9298.8929889298888</v>
      </c>
      <c r="H17" s="266">
        <v>55677.121771217709</v>
      </c>
      <c r="I17" s="266"/>
      <c r="J17" s="266">
        <v>214.14277604314503</v>
      </c>
      <c r="K17" s="266">
        <v>26.767847005393129</v>
      </c>
      <c r="L17" s="266">
        <v>0.44613078342321882</v>
      </c>
    </row>
    <row r="18" spans="1:26" hidden="1" outlineLevel="1">
      <c r="D18" s="9" t="s">
        <v>397</v>
      </c>
      <c r="E18" s="266">
        <v>35742.619926199259</v>
      </c>
      <c r="F18" s="9">
        <v>0.14000000000000001</v>
      </c>
      <c r="G18" s="266">
        <v>9298.8929889298888</v>
      </c>
      <c r="H18" s="266">
        <v>50045.479704797042</v>
      </c>
      <c r="I18" s="266"/>
      <c r="J18" s="266">
        <v>192.48261424921938</v>
      </c>
      <c r="K18" s="266">
        <v>24.060326781152423</v>
      </c>
      <c r="L18" s="266">
        <v>0.40100544635254037</v>
      </c>
    </row>
    <row r="19" spans="1:26" hidden="1" outlineLevel="1">
      <c r="D19" s="9" t="s">
        <v>398</v>
      </c>
      <c r="E19" s="266">
        <v>32139.2988929889</v>
      </c>
      <c r="F19" s="9">
        <v>0.14000000000000001</v>
      </c>
      <c r="G19" s="266">
        <v>9298.8929889298888</v>
      </c>
      <c r="H19" s="266">
        <v>45937.693726937272</v>
      </c>
      <c r="I19" s="266"/>
      <c r="J19" s="266">
        <v>176.68343741129721</v>
      </c>
      <c r="K19" s="266">
        <v>22.085429676412151</v>
      </c>
      <c r="L19" s="266">
        <v>0.36809049460686916</v>
      </c>
    </row>
    <row r="20" spans="1:26" hidden="1" outlineLevel="1">
      <c r="J20" s="263"/>
      <c r="K20" s="264"/>
      <c r="L20" s="263"/>
    </row>
    <row r="21" spans="1:26" hidden="1" outlineLevel="1">
      <c r="E21" s="220" t="s">
        <v>399</v>
      </c>
      <c r="F21" s="220" t="s">
        <v>400</v>
      </c>
      <c r="G21" s="220"/>
      <c r="H21" s="220" t="s">
        <v>401</v>
      </c>
      <c r="I21" s="220"/>
      <c r="K21" s="264"/>
      <c r="L21" s="263"/>
    </row>
    <row r="22" spans="1:26" hidden="1" outlineLevel="1">
      <c r="D22" s="9" t="s">
        <v>402</v>
      </c>
      <c r="E22" s="267">
        <f>$J$13</f>
        <v>198.85325007096225</v>
      </c>
      <c r="F22" s="9">
        <v>6.5</v>
      </c>
      <c r="G22" s="267">
        <f>F22*E22</f>
        <v>1292.5461254612546</v>
      </c>
      <c r="H22" s="9">
        <v>100</v>
      </c>
      <c r="I22" s="267">
        <f>G22/H22</f>
        <v>12.925461254612546</v>
      </c>
      <c r="K22" s="264"/>
      <c r="L22" s="263"/>
    </row>
    <row r="23" spans="1:26" hidden="1" outlineLevel="1">
      <c r="D23" s="9" t="s">
        <v>403</v>
      </c>
      <c r="E23" s="267">
        <f>$J$13</f>
        <v>198.85325007096225</v>
      </c>
      <c r="F23" s="9">
        <v>10</v>
      </c>
      <c r="G23" s="267">
        <f>F23*E23</f>
        <v>1988.5325007096226</v>
      </c>
      <c r="H23" s="9">
        <v>100</v>
      </c>
      <c r="I23" s="267">
        <f>G23/H23</f>
        <v>19.885325007096228</v>
      </c>
      <c r="K23" s="264"/>
      <c r="L23" s="263"/>
    </row>
    <row r="24" spans="1:26" hidden="1" outlineLevel="1">
      <c r="D24" s="9" t="s">
        <v>404</v>
      </c>
      <c r="E24" s="267">
        <f>$J$13</f>
        <v>198.85325007096225</v>
      </c>
      <c r="F24" s="9">
        <v>13</v>
      </c>
      <c r="G24" s="267">
        <f>F24*E24</f>
        <v>2585.0922509225093</v>
      </c>
      <c r="H24" s="9">
        <v>100</v>
      </c>
      <c r="I24" s="267">
        <f>G24/H24</f>
        <v>25.850922509225093</v>
      </c>
      <c r="K24" s="264"/>
      <c r="L24" s="263"/>
    </row>
    <row r="25" spans="1:26" hidden="1" outlineLevel="1">
      <c r="D25" s="9" t="s">
        <v>405</v>
      </c>
      <c r="E25" s="472"/>
      <c r="F25" s="473"/>
      <c r="G25" s="473"/>
      <c r="H25" s="474"/>
      <c r="I25" s="268">
        <f>SUM(I22:I24)*0.2</f>
        <v>11.732341754186773</v>
      </c>
      <c r="K25" s="264"/>
      <c r="L25" s="263"/>
    </row>
    <row r="26" spans="1:26" hidden="1" outlineLevel="1">
      <c r="E26" s="263"/>
      <c r="G26" s="265"/>
      <c r="H26" s="9" t="s">
        <v>23</v>
      </c>
      <c r="I26" s="283">
        <f>SUM(I22:I25)</f>
        <v>70.394050525120633</v>
      </c>
      <c r="K26" s="264"/>
      <c r="L26" s="263"/>
    </row>
    <row r="27" spans="1:26" collapsed="1">
      <c r="G27" s="263"/>
    </row>
    <row r="28" spans="1:26" s="106" customFormat="1" ht="26.1">
      <c r="D28" s="174" t="s">
        <v>135</v>
      </c>
      <c r="E28" s="21"/>
      <c r="F28" s="21"/>
      <c r="G28" s="21"/>
      <c r="H28" s="21"/>
      <c r="I28" s="21"/>
      <c r="J28" s="21"/>
      <c r="K28" s="21"/>
      <c r="L28" s="21"/>
      <c r="M28" s="21"/>
      <c r="N28" s="21"/>
      <c r="O28" s="21"/>
      <c r="P28" s="21"/>
      <c r="Q28" s="21"/>
      <c r="R28" s="21"/>
      <c r="S28" s="21"/>
      <c r="T28" s="21"/>
      <c r="U28" s="21"/>
      <c r="V28" s="21"/>
      <c r="W28" s="21"/>
      <c r="X28" s="21"/>
      <c r="Y28" s="21"/>
      <c r="Z28" s="21"/>
    </row>
    <row r="29" spans="1:26" hidden="1" outlineLevel="1"/>
    <row r="30" spans="1:26" ht="15.6" hidden="1" outlineLevel="1">
      <c r="D30" t="s">
        <v>406</v>
      </c>
      <c r="E30" s="469" t="s">
        <v>407</v>
      </c>
      <c r="F30" s="469"/>
      <c r="G30" s="469"/>
    </row>
    <row r="31" spans="1:26" s="1" customFormat="1" ht="15.6" hidden="1" outlineLevel="1">
      <c r="A31"/>
      <c r="B31"/>
      <c r="E31" s="68" t="s">
        <v>408</v>
      </c>
      <c r="F31" s="334" t="s">
        <v>409</v>
      </c>
      <c r="G31" s="68" t="s">
        <v>410</v>
      </c>
    </row>
    <row r="32" spans="1:26" s="1" customFormat="1" ht="15.6" hidden="1" outlineLevel="1">
      <c r="A32"/>
      <c r="B32"/>
      <c r="C32" s="10"/>
      <c r="D32" s="63" t="s">
        <v>354</v>
      </c>
      <c r="E32" s="267">
        <v>32.281538927431299</v>
      </c>
      <c r="F32" s="335">
        <f t="shared" ref="F32:F37" si="0">AVERAGE(E32,G32)</f>
        <v>64.563077854862541</v>
      </c>
      <c r="G32" s="267">
        <v>96.84461678229377</v>
      </c>
    </row>
    <row r="33" spans="1:7" s="1" customFormat="1" ht="15.6" hidden="1" outlineLevel="1">
      <c r="A33"/>
      <c r="B33"/>
      <c r="C33" s="10"/>
      <c r="D33" s="63" t="s">
        <v>355</v>
      </c>
      <c r="E33" s="267">
        <v>38.09221593436888</v>
      </c>
      <c r="F33" s="335">
        <f t="shared" si="0"/>
        <v>76.184431868737761</v>
      </c>
      <c r="G33" s="267">
        <v>114.27664780310664</v>
      </c>
    </row>
    <row r="34" spans="1:7" s="1" customFormat="1" ht="15.6" hidden="1" outlineLevel="1">
      <c r="A34"/>
      <c r="B34"/>
      <c r="C34" s="10"/>
      <c r="D34" s="63" t="s">
        <v>356</v>
      </c>
      <c r="E34" s="267">
        <v>44.948814802555276</v>
      </c>
      <c r="F34" s="335">
        <f t="shared" si="0"/>
        <v>89.897629605110552</v>
      </c>
      <c r="G34" s="267">
        <v>134.84644440766584</v>
      </c>
    </row>
    <row r="35" spans="1:7" s="1" customFormat="1" ht="15.6" hidden="1" outlineLevel="1">
      <c r="A35"/>
      <c r="B35"/>
      <c r="C35"/>
      <c r="D35" s="63" t="s">
        <v>357</v>
      </c>
      <c r="E35" s="267">
        <v>51.108132429909197</v>
      </c>
      <c r="F35" s="335">
        <f t="shared" si="0"/>
        <v>102.2162648598181</v>
      </c>
      <c r="G35" s="267">
        <v>153.32439728972699</v>
      </c>
    </row>
    <row r="36" spans="1:7" s="1" customFormat="1" ht="15.6" hidden="1" outlineLevel="1">
      <c r="A36"/>
      <c r="B36"/>
      <c r="C36" s="10"/>
      <c r="D36" s="63" t="s">
        <v>358</v>
      </c>
      <c r="E36" s="267">
        <v>57.4417703674712</v>
      </c>
      <c r="F36" s="335">
        <f t="shared" si="0"/>
        <v>114.8835407349426</v>
      </c>
      <c r="G36" s="267">
        <v>172.32531110241399</v>
      </c>
    </row>
    <row r="37" spans="1:7" s="1" customFormat="1" ht="15.6" hidden="1" outlineLevel="1">
      <c r="A37"/>
      <c r="B37"/>
      <c r="C37" s="10"/>
      <c r="D37" s="63" t="s">
        <v>359</v>
      </c>
      <c r="E37" s="267">
        <v>63.159557426921729</v>
      </c>
      <c r="F37" s="335">
        <f t="shared" si="0"/>
        <v>126.31911485384346</v>
      </c>
      <c r="G37" s="267">
        <v>189.47867228076518</v>
      </c>
    </row>
    <row r="38" spans="1:7" s="1" customFormat="1" ht="15.6" hidden="1" outlineLevel="1">
      <c r="A38"/>
      <c r="B38"/>
      <c r="C38" s="10"/>
      <c r="D38" s="63" t="s">
        <v>411</v>
      </c>
      <c r="E38" s="303"/>
      <c r="F38" s="336">
        <f>AVERAGE(F32:F37)</f>
        <v>95.677343296219149</v>
      </c>
      <c r="G38" s="304"/>
    </row>
    <row r="39" spans="1:7" s="1" customFormat="1" ht="15.6" hidden="1" outlineLevel="1">
      <c r="A39"/>
      <c r="B39"/>
      <c r="C39" s="10"/>
      <c r="E39" s="470" t="s">
        <v>412</v>
      </c>
      <c r="F39" s="470"/>
      <c r="G39" s="470"/>
    </row>
    <row r="40" spans="1:7" s="1" customFormat="1" ht="15.6" hidden="1" customHeight="1" outlineLevel="1">
      <c r="A40"/>
      <c r="B40"/>
      <c r="C40" s="10"/>
      <c r="D40" s="1" t="s">
        <v>413</v>
      </c>
      <c r="E40" s="471"/>
      <c r="F40" s="471"/>
      <c r="G40" s="471"/>
    </row>
    <row r="41" spans="1:7" s="1" customFormat="1" ht="15.6" hidden="1" outlineLevel="1">
      <c r="A41"/>
      <c r="B41"/>
      <c r="C41" s="10"/>
      <c r="E41" s="68" t="s">
        <v>408</v>
      </c>
      <c r="F41" s="334" t="s">
        <v>409</v>
      </c>
      <c r="G41" s="68" t="s">
        <v>410</v>
      </c>
    </row>
    <row r="42" spans="1:7" s="1" customFormat="1" ht="15.6" hidden="1" outlineLevel="1">
      <c r="A42"/>
      <c r="B42"/>
      <c r="C42" s="10"/>
      <c r="D42" s="63" t="s">
        <v>354</v>
      </c>
      <c r="E42" s="267">
        <v>96.84461678229377</v>
      </c>
      <c r="F42" s="335">
        <f t="shared" ref="F42:F47" si="1">AVERAGE(E42,G42)</f>
        <v>193.68923356458754</v>
      </c>
      <c r="G42" s="267">
        <v>290.53385034688131</v>
      </c>
    </row>
    <row r="43" spans="1:7" s="1" customFormat="1" ht="15.6" hidden="1" outlineLevel="1">
      <c r="A43"/>
      <c r="B43"/>
      <c r="C43" s="10"/>
      <c r="D43" s="63" t="s">
        <v>355</v>
      </c>
      <c r="E43" s="267">
        <v>114.27664780310664</v>
      </c>
      <c r="F43" s="335">
        <f t="shared" si="1"/>
        <v>228.55329560621328</v>
      </c>
      <c r="G43" s="267">
        <v>342.82994340931992</v>
      </c>
    </row>
    <row r="44" spans="1:7" s="1" customFormat="1" ht="15.6" hidden="1" outlineLevel="1">
      <c r="A44"/>
      <c r="B44"/>
      <c r="C44" s="10"/>
      <c r="D44" s="63" t="s">
        <v>356</v>
      </c>
      <c r="E44" s="267">
        <v>134.84644440766584</v>
      </c>
      <c r="F44" s="335">
        <f t="shared" si="1"/>
        <v>269.69288881533168</v>
      </c>
      <c r="G44" s="267">
        <v>404.53933322299747</v>
      </c>
    </row>
    <row r="45" spans="1:7" s="1" customFormat="1" ht="15.6" hidden="1" outlineLevel="1">
      <c r="A45"/>
      <c r="B45"/>
      <c r="D45" s="63" t="s">
        <v>357</v>
      </c>
      <c r="E45" s="267">
        <v>153.32439728972699</v>
      </c>
      <c r="F45" s="335">
        <f t="shared" si="1"/>
        <v>306.64879457945449</v>
      </c>
      <c r="G45" s="267">
        <v>459.97319186918202</v>
      </c>
    </row>
    <row r="46" spans="1:7" s="1" customFormat="1" ht="15.6" hidden="1" outlineLevel="1">
      <c r="A46"/>
      <c r="B46"/>
      <c r="C46" s="10"/>
      <c r="D46" s="63" t="s">
        <v>358</v>
      </c>
      <c r="E46" s="267">
        <v>172.32531110241399</v>
      </c>
      <c r="F46" s="335">
        <f t="shared" si="1"/>
        <v>344.65062220482696</v>
      </c>
      <c r="G46" s="267">
        <v>516.97593330723998</v>
      </c>
    </row>
    <row r="47" spans="1:7" s="1" customFormat="1" ht="15.6" hidden="1" outlineLevel="1">
      <c r="A47"/>
      <c r="B47"/>
      <c r="C47" s="10"/>
      <c r="D47" s="63" t="s">
        <v>359</v>
      </c>
      <c r="E47" s="267">
        <v>189.47867228076518</v>
      </c>
      <c r="F47" s="335">
        <f t="shared" si="1"/>
        <v>378.95734456153036</v>
      </c>
      <c r="G47" s="267">
        <v>568.43601684229554</v>
      </c>
    </row>
    <row r="48" spans="1:7" ht="15.6" hidden="1" outlineLevel="1">
      <c r="D48" s="63"/>
      <c r="E48" s="303">
        <f>AVERAGE(E42:E47)</f>
        <v>143.51601494432876</v>
      </c>
      <c r="F48" s="336">
        <f>AVERAGE(F42:F47)</f>
        <v>287.03202988865741</v>
      </c>
      <c r="G48" s="283">
        <f>AVERAGE(G42:G47)</f>
        <v>430.54804483298602</v>
      </c>
    </row>
    <row r="49" spans="4:26" collapsed="1"/>
    <row r="50" spans="4:26" s="106" customFormat="1" ht="26.1">
      <c r="D50" s="174" t="s">
        <v>151</v>
      </c>
      <c r="E50" s="21"/>
      <c r="F50" s="21"/>
      <c r="G50" s="21"/>
      <c r="H50" s="21"/>
      <c r="I50" s="21"/>
      <c r="J50" s="21"/>
      <c r="K50" s="21"/>
      <c r="L50" s="21"/>
      <c r="M50" s="21"/>
      <c r="N50" s="21"/>
      <c r="O50" s="21"/>
      <c r="P50" s="21"/>
      <c r="Q50" s="21"/>
      <c r="R50" s="21"/>
      <c r="S50" s="21"/>
      <c r="T50" s="21"/>
      <c r="U50" s="21"/>
      <c r="V50" s="21"/>
      <c r="W50" s="21"/>
      <c r="X50" s="21"/>
      <c r="Y50" s="21"/>
      <c r="Z50" s="21"/>
    </row>
    <row r="51" spans="4:26" hidden="1" outlineLevel="1"/>
    <row r="52" spans="4:26" ht="15.95" hidden="1" outlineLevel="1" thickBot="1">
      <c r="D52" s="1" t="s">
        <v>30</v>
      </c>
      <c r="E52" s="176"/>
      <c r="F52" s="176"/>
      <c r="G52" s="176"/>
      <c r="H52" s="176"/>
      <c r="I52" s="176"/>
      <c r="J52" s="176"/>
      <c r="K52" s="176"/>
      <c r="L52" s="176"/>
      <c r="M52" s="176"/>
      <c r="N52" s="176"/>
      <c r="O52" s="176"/>
      <c r="P52" s="176"/>
      <c r="Q52" s="176"/>
    </row>
    <row r="53" spans="4:26" ht="30.95" hidden="1" outlineLevel="1">
      <c r="D53" s="155" t="s">
        <v>414</v>
      </c>
      <c r="E53" s="155">
        <v>2022</v>
      </c>
      <c r="F53" s="155">
        <v>2023</v>
      </c>
      <c r="G53" s="156">
        <v>2024</v>
      </c>
      <c r="H53" s="247" t="s">
        <v>415</v>
      </c>
      <c r="I53" s="176"/>
      <c r="J53" s="176"/>
      <c r="K53" s="176"/>
      <c r="L53" s="176"/>
      <c r="M53" s="176"/>
      <c r="N53" s="176"/>
      <c r="O53" s="176"/>
      <c r="P53" s="176"/>
      <c r="Q53" s="176"/>
    </row>
    <row r="54" spans="4:26" ht="15.6" hidden="1" outlineLevel="1">
      <c r="D54" s="63" t="s">
        <v>354</v>
      </c>
      <c r="E54" s="191">
        <v>80</v>
      </c>
      <c r="F54" s="191">
        <v>133.5</v>
      </c>
      <c r="G54" s="192">
        <v>106.89999999999999</v>
      </c>
      <c r="H54" s="337">
        <f t="shared" ref="H54:H59" si="2">AVERAGE(E54:G54)</f>
        <v>106.8</v>
      </c>
      <c r="I54" s="176"/>
      <c r="J54" s="176"/>
      <c r="K54" s="176"/>
      <c r="L54" s="176"/>
      <c r="M54" s="176"/>
      <c r="N54" s="176"/>
      <c r="O54" s="176"/>
      <c r="P54" s="176"/>
      <c r="Q54" s="176"/>
    </row>
    <row r="55" spans="4:26" ht="15.6" hidden="1" outlineLevel="1">
      <c r="D55" s="63" t="s">
        <v>355</v>
      </c>
      <c r="E55" s="191">
        <v>98</v>
      </c>
      <c r="F55" s="191">
        <v>216.75</v>
      </c>
      <c r="G55" s="192">
        <v>114.89999999999999</v>
      </c>
      <c r="H55" s="337">
        <f t="shared" si="2"/>
        <v>143.21666666666667</v>
      </c>
      <c r="I55" s="176"/>
      <c r="J55" s="176"/>
      <c r="K55" s="176"/>
      <c r="L55" s="176"/>
      <c r="M55" s="176"/>
      <c r="N55" s="176"/>
      <c r="O55" s="176"/>
      <c r="P55" s="176"/>
      <c r="Q55" s="176"/>
    </row>
    <row r="56" spans="4:26" ht="15.6" hidden="1" outlineLevel="1">
      <c r="D56" s="63" t="s">
        <v>356</v>
      </c>
      <c r="E56" s="191">
        <v>116</v>
      </c>
      <c r="F56" s="191">
        <v>300</v>
      </c>
      <c r="G56" s="192">
        <v>135.5</v>
      </c>
      <c r="H56" s="337">
        <f t="shared" si="2"/>
        <v>183.83333333333334</v>
      </c>
      <c r="I56" s="176"/>
      <c r="K56" s="176"/>
      <c r="L56" s="176"/>
      <c r="M56" s="176"/>
      <c r="N56" s="176"/>
      <c r="O56" s="176"/>
      <c r="P56" s="176"/>
      <c r="Q56" s="176"/>
    </row>
    <row r="57" spans="4:26" ht="15.6" hidden="1" outlineLevel="1">
      <c r="D57" s="63" t="s">
        <v>357</v>
      </c>
      <c r="E57" s="191">
        <v>134</v>
      </c>
      <c r="F57" s="191">
        <v>383.25</v>
      </c>
      <c r="G57" s="192">
        <v>147.69999999999999</v>
      </c>
      <c r="H57" s="337">
        <f t="shared" si="2"/>
        <v>221.65</v>
      </c>
      <c r="I57" s="176"/>
      <c r="K57" s="176"/>
      <c r="L57" s="176"/>
      <c r="M57" s="176"/>
      <c r="N57" s="176"/>
      <c r="O57" s="176"/>
      <c r="P57" s="176"/>
      <c r="Q57" s="176"/>
    </row>
    <row r="58" spans="4:26" ht="15.6" hidden="1" outlineLevel="1">
      <c r="D58" s="63" t="s">
        <v>358</v>
      </c>
      <c r="E58" s="191">
        <v>152</v>
      </c>
      <c r="F58" s="191">
        <v>466.5</v>
      </c>
      <c r="G58" s="192">
        <v>162</v>
      </c>
      <c r="H58" s="337">
        <f t="shared" si="2"/>
        <v>260.16666666666669</v>
      </c>
      <c r="L58" s="176"/>
      <c r="M58" s="176"/>
      <c r="N58" s="176"/>
      <c r="O58" s="176"/>
      <c r="P58" s="176"/>
      <c r="Q58" s="176"/>
    </row>
    <row r="59" spans="4:26" ht="15.6" hidden="1" outlineLevel="1">
      <c r="D59" s="63" t="s">
        <v>359</v>
      </c>
      <c r="E59" s="191">
        <v>258</v>
      </c>
      <c r="F59" s="191">
        <v>549.75</v>
      </c>
      <c r="G59" s="192">
        <v>176.3</v>
      </c>
      <c r="H59" s="337">
        <f t="shared" si="2"/>
        <v>328.01666666666665</v>
      </c>
      <c r="L59" s="176"/>
      <c r="M59" s="176"/>
      <c r="N59" s="176"/>
      <c r="O59" s="176"/>
      <c r="P59" s="176"/>
      <c r="Q59" s="176"/>
    </row>
    <row r="60" spans="4:26" ht="15.95" hidden="1" outlineLevel="1" thickBot="1">
      <c r="D60" s="63" t="s">
        <v>411</v>
      </c>
      <c r="E60" s="467"/>
      <c r="F60" s="468"/>
      <c r="G60" s="468"/>
      <c r="H60" s="338">
        <f>AVERAGE(H54:H59)</f>
        <v>207.28055555555557</v>
      </c>
      <c r="L60" s="176"/>
      <c r="M60" s="176"/>
      <c r="N60" s="176"/>
      <c r="O60" s="176"/>
      <c r="P60" s="176"/>
      <c r="Q60" s="176"/>
    </row>
    <row r="61" spans="4:26" ht="15.95" hidden="1" outlineLevel="1" thickBot="1">
      <c r="D61" s="1" t="s">
        <v>353</v>
      </c>
      <c r="E61" s="2"/>
      <c r="F61" s="2"/>
      <c r="L61" s="176"/>
      <c r="M61" s="176"/>
      <c r="N61" s="176"/>
      <c r="O61" s="176"/>
      <c r="P61" s="176"/>
      <c r="Q61" s="176"/>
    </row>
    <row r="62" spans="4:26" ht="15.6" hidden="1" outlineLevel="1">
      <c r="D62" s="155" t="s">
        <v>416</v>
      </c>
      <c r="E62" s="193"/>
      <c r="F62" s="193"/>
      <c r="H62" s="247" t="s">
        <v>415</v>
      </c>
      <c r="I62" s="247" t="s">
        <v>417</v>
      </c>
      <c r="J62" s="176"/>
      <c r="K62" s="176"/>
      <c r="L62" s="176"/>
      <c r="M62" s="176"/>
      <c r="N62" s="176"/>
      <c r="O62" s="176"/>
      <c r="P62" s="176"/>
      <c r="Q62" s="176"/>
    </row>
    <row r="63" spans="4:26" ht="15.6" hidden="1" outlineLevel="1">
      <c r="D63" s="63" t="s">
        <v>354</v>
      </c>
      <c r="E63" s="69">
        <v>314</v>
      </c>
      <c r="F63" s="69" t="s">
        <v>418</v>
      </c>
      <c r="G63" s="159">
        <v>176.5</v>
      </c>
      <c r="H63" s="337">
        <f t="shared" ref="H63:H68" si="3">AVERAGE(E63:G63)</f>
        <v>245.25</v>
      </c>
      <c r="I63" s="337">
        <f t="shared" ref="I63:I68" si="4">MAX(E63:G63)</f>
        <v>314</v>
      </c>
      <c r="J63" s="176"/>
      <c r="K63" s="176"/>
      <c r="L63" s="176"/>
      <c r="M63" s="176"/>
      <c r="N63" s="176"/>
      <c r="O63" s="176"/>
      <c r="P63" s="176"/>
      <c r="Q63" s="176"/>
    </row>
    <row r="64" spans="4:26" ht="15.6" hidden="1" outlineLevel="1">
      <c r="D64" s="63" t="s">
        <v>355</v>
      </c>
      <c r="E64" s="191">
        <v>346</v>
      </c>
      <c r="F64" s="191" t="s">
        <v>418</v>
      </c>
      <c r="G64" s="192">
        <v>184.5</v>
      </c>
      <c r="H64" s="337">
        <f t="shared" si="3"/>
        <v>265.25</v>
      </c>
      <c r="I64" s="337">
        <f t="shared" si="4"/>
        <v>346</v>
      </c>
      <c r="J64" s="176"/>
      <c r="K64" s="176"/>
      <c r="L64" s="176"/>
      <c r="M64" s="176"/>
      <c r="N64" s="176"/>
      <c r="O64" s="176"/>
      <c r="P64" s="176"/>
      <c r="Q64" s="176"/>
    </row>
    <row r="65" spans="4:26" ht="15.6" hidden="1" outlineLevel="1">
      <c r="D65" s="63" t="s">
        <v>356</v>
      </c>
      <c r="E65" s="191">
        <v>488</v>
      </c>
      <c r="F65" s="191" t="s">
        <v>418</v>
      </c>
      <c r="G65" s="192">
        <v>210</v>
      </c>
      <c r="H65" s="337">
        <f t="shared" si="3"/>
        <v>349</v>
      </c>
      <c r="I65" s="337">
        <f t="shared" si="4"/>
        <v>488</v>
      </c>
      <c r="J65" s="176"/>
      <c r="K65" s="176"/>
      <c r="L65" s="176"/>
      <c r="M65" s="176"/>
      <c r="N65" s="176"/>
      <c r="O65" s="176"/>
      <c r="P65" s="176"/>
      <c r="Q65" s="176"/>
    </row>
    <row r="66" spans="4:26" ht="15.6" hidden="1" outlineLevel="1">
      <c r="D66" s="63" t="s">
        <v>357</v>
      </c>
      <c r="E66" s="177">
        <v>556.66666666666697</v>
      </c>
      <c r="F66" s="191"/>
      <c r="G66" s="284">
        <v>223.833333333333</v>
      </c>
      <c r="H66" s="337">
        <f t="shared" si="3"/>
        <v>390.25</v>
      </c>
      <c r="I66" s="337">
        <f t="shared" si="4"/>
        <v>556.66666666666697</v>
      </c>
      <c r="J66" s="176"/>
      <c r="K66" s="176"/>
      <c r="L66" s="176"/>
      <c r="M66" s="176"/>
      <c r="N66" s="176"/>
      <c r="O66" s="176"/>
      <c r="P66" s="176"/>
      <c r="Q66" s="176"/>
    </row>
    <row r="67" spans="4:26" ht="15.6" hidden="1" outlineLevel="1">
      <c r="D67" s="63" t="s">
        <v>358</v>
      </c>
      <c r="E67" s="177">
        <v>643.66666666666697</v>
      </c>
      <c r="F67" s="191"/>
      <c r="G67" s="284">
        <v>240.583333333333</v>
      </c>
      <c r="H67" s="337">
        <f t="shared" si="3"/>
        <v>442.125</v>
      </c>
      <c r="I67" s="337">
        <f t="shared" si="4"/>
        <v>643.66666666666697</v>
      </c>
      <c r="J67" s="176"/>
      <c r="K67" s="176"/>
      <c r="L67" s="176"/>
      <c r="M67" s="176"/>
      <c r="N67" s="176"/>
      <c r="O67" s="176"/>
      <c r="P67" s="176"/>
      <c r="Q67" s="176"/>
    </row>
    <row r="68" spans="4:26" ht="15.6" hidden="1" outlineLevel="1">
      <c r="D68" s="63" t="s">
        <v>359</v>
      </c>
      <c r="E68" s="177">
        <v>730.66666666666697</v>
      </c>
      <c r="F68" s="191" t="s">
        <v>418</v>
      </c>
      <c r="G68" s="284">
        <v>257.33333333333297</v>
      </c>
      <c r="H68" s="337">
        <f t="shared" si="3"/>
        <v>494</v>
      </c>
      <c r="I68" s="337">
        <f t="shared" si="4"/>
        <v>730.66666666666697</v>
      </c>
      <c r="J68" s="176"/>
      <c r="K68" s="176"/>
      <c r="L68" s="176"/>
      <c r="M68" s="176"/>
      <c r="N68" s="176"/>
      <c r="O68" s="176"/>
      <c r="P68" s="176"/>
      <c r="Q68" s="176"/>
    </row>
    <row r="69" spans="4:26" ht="15.95" hidden="1" outlineLevel="1" thickBot="1">
      <c r="D69" s="63" t="s">
        <v>411</v>
      </c>
      <c r="F69" s="1"/>
      <c r="H69" s="338">
        <f>AVERAGE(H63:H68)</f>
        <v>364.3125</v>
      </c>
      <c r="I69" s="338">
        <f>AVERAGE(I63:I68)</f>
        <v>513.16666666666686</v>
      </c>
      <c r="J69" s="176"/>
      <c r="K69" s="176"/>
      <c r="L69" s="176"/>
      <c r="M69" s="176"/>
      <c r="N69" s="176"/>
      <c r="O69" s="176"/>
      <c r="P69" s="176"/>
      <c r="Q69" s="176"/>
    </row>
    <row r="70" spans="4:26" ht="15.6" collapsed="1">
      <c r="D70" s="176"/>
      <c r="E70" s="176"/>
      <c r="F70" s="176"/>
      <c r="G70" s="176"/>
      <c r="H70" s="176"/>
      <c r="I70" s="176"/>
      <c r="J70" s="176"/>
      <c r="K70" s="176"/>
      <c r="L70" s="176"/>
      <c r="M70" s="176"/>
      <c r="N70" s="176"/>
      <c r="O70" s="176"/>
      <c r="P70" s="176"/>
      <c r="Q70" s="176"/>
    </row>
    <row r="71" spans="4:26" s="106" customFormat="1" ht="26.1">
      <c r="D71" s="174" t="s">
        <v>419</v>
      </c>
      <c r="E71" s="194"/>
      <c r="F71" s="194"/>
      <c r="G71" s="194"/>
      <c r="H71" s="194"/>
      <c r="I71" s="194"/>
      <c r="J71" s="194"/>
      <c r="K71" s="194"/>
      <c r="L71" s="194"/>
      <c r="M71" s="194"/>
      <c r="N71" s="194"/>
      <c r="O71" s="194"/>
      <c r="P71" s="194"/>
      <c r="Q71" s="194"/>
      <c r="R71" s="21"/>
      <c r="S71" s="21"/>
      <c r="T71" s="21"/>
      <c r="U71" s="21"/>
      <c r="V71" s="21"/>
      <c r="W71" s="21"/>
      <c r="X71" s="21"/>
      <c r="Y71" s="21"/>
      <c r="Z71" s="21"/>
    </row>
    <row r="72" spans="4:26" ht="15.95" hidden="1" outlineLevel="1" thickBot="1">
      <c r="D72" s="176"/>
      <c r="E72" s="176"/>
      <c r="F72" s="176"/>
      <c r="G72" s="176"/>
      <c r="H72" s="176"/>
      <c r="I72" s="176"/>
      <c r="J72" s="176"/>
      <c r="K72" s="176"/>
      <c r="L72" s="176"/>
      <c r="M72" s="176"/>
      <c r="N72" s="176"/>
      <c r="O72" s="176"/>
      <c r="P72" s="176"/>
      <c r="Q72" s="176"/>
    </row>
    <row r="73" spans="4:26" ht="15.6" hidden="1" outlineLevel="1">
      <c r="D73" s="176"/>
      <c r="E73" s="155">
        <v>2022</v>
      </c>
      <c r="F73" s="155">
        <v>2023</v>
      </c>
      <c r="G73" s="156">
        <v>2024</v>
      </c>
      <c r="H73" s="247" t="s">
        <v>415</v>
      </c>
      <c r="I73" s="176"/>
      <c r="J73" s="176"/>
      <c r="K73" s="176"/>
      <c r="L73" s="176"/>
      <c r="M73" s="176"/>
      <c r="N73" s="176"/>
      <c r="O73" s="176"/>
      <c r="P73" s="176"/>
      <c r="Q73" s="176"/>
    </row>
    <row r="74" spans="4:26" ht="15.6" hidden="1" outlineLevel="1">
      <c r="D74" s="63" t="s">
        <v>420</v>
      </c>
      <c r="E74" s="253">
        <v>8</v>
      </c>
      <c r="F74" s="253">
        <v>14</v>
      </c>
      <c r="G74" s="254">
        <v>17</v>
      </c>
      <c r="H74" s="339">
        <v>13</v>
      </c>
      <c r="I74" s="176"/>
      <c r="J74" s="176"/>
      <c r="K74" s="176"/>
      <c r="L74" s="176"/>
      <c r="M74" s="176"/>
      <c r="N74" s="176"/>
      <c r="O74" s="176"/>
      <c r="P74" s="176"/>
      <c r="Q74" s="176"/>
    </row>
    <row r="75" spans="4:26" ht="15.6" hidden="1" outlineLevel="1">
      <c r="D75" s="63" t="s">
        <v>421</v>
      </c>
      <c r="E75" s="253">
        <v>8</v>
      </c>
      <c r="F75" s="253">
        <v>12</v>
      </c>
      <c r="G75" s="254">
        <v>9.5</v>
      </c>
      <c r="H75" s="340">
        <v>9.8333333333333339</v>
      </c>
      <c r="I75" s="176"/>
      <c r="J75" s="176"/>
      <c r="K75" s="176"/>
      <c r="L75" s="176"/>
      <c r="M75" s="176"/>
      <c r="N75" s="176"/>
      <c r="O75" s="176"/>
      <c r="P75" s="176"/>
      <c r="Q75" s="176"/>
    </row>
    <row r="76" spans="4:26" ht="15.6" hidden="1" outlineLevel="1">
      <c r="D76" s="63" t="s">
        <v>422</v>
      </c>
      <c r="E76" s="253">
        <v>8</v>
      </c>
      <c r="F76" s="253">
        <v>11</v>
      </c>
      <c r="G76" s="254">
        <v>3</v>
      </c>
      <c r="H76" s="340">
        <v>7.333333333333333</v>
      </c>
      <c r="I76" s="176"/>
      <c r="J76" s="176"/>
      <c r="K76" s="176"/>
      <c r="L76" s="176"/>
      <c r="M76" s="176"/>
      <c r="N76" s="176"/>
      <c r="O76" s="176"/>
      <c r="P76" s="176"/>
      <c r="Q76" s="176"/>
    </row>
    <row r="77" spans="4:26" ht="15.6" hidden="1" outlineLevel="1">
      <c r="D77" s="63" t="s">
        <v>423</v>
      </c>
      <c r="E77" s="183">
        <v>10</v>
      </c>
      <c r="F77" s="183">
        <v>24</v>
      </c>
      <c r="G77" s="182">
        <v>86</v>
      </c>
      <c r="H77" s="341">
        <f>F77</f>
        <v>24</v>
      </c>
      <c r="I77" s="176"/>
      <c r="J77" s="176"/>
      <c r="K77" s="176"/>
      <c r="L77" s="176"/>
      <c r="M77" s="176"/>
      <c r="N77" s="176"/>
      <c r="O77" s="176"/>
      <c r="P77" s="176"/>
      <c r="Q77" s="176"/>
    </row>
    <row r="78" spans="4:26" ht="15.6" hidden="1" outlineLevel="1">
      <c r="D78" s="63" t="s">
        <v>424</v>
      </c>
      <c r="E78" s="183" t="s">
        <v>418</v>
      </c>
      <c r="F78" s="183" t="s">
        <v>418</v>
      </c>
      <c r="G78" s="182">
        <v>8.5</v>
      </c>
      <c r="H78" s="255">
        <v>8.5</v>
      </c>
      <c r="I78" s="176"/>
      <c r="J78" s="176"/>
      <c r="K78" s="176"/>
      <c r="L78" s="176"/>
      <c r="M78" s="176"/>
      <c r="N78" s="176"/>
      <c r="O78" s="176"/>
      <c r="P78" s="176"/>
      <c r="Q78" s="176"/>
    </row>
    <row r="79" spans="4:26" ht="15.6" hidden="1" outlineLevel="1">
      <c r="I79" s="176"/>
      <c r="J79" s="176"/>
      <c r="K79" s="176"/>
      <c r="L79" s="176"/>
      <c r="M79" s="176"/>
      <c r="N79" s="176"/>
      <c r="O79" s="176"/>
      <c r="P79" s="176"/>
      <c r="Q79" s="176"/>
    </row>
    <row r="80" spans="4:26" ht="15.95" hidden="1" outlineLevel="1" thickBot="1">
      <c r="D80" s="176"/>
      <c r="E80" s="176"/>
      <c r="F80" s="176"/>
      <c r="G80" s="176"/>
      <c r="H80" s="176"/>
      <c r="I80" s="176"/>
      <c r="J80" s="176"/>
      <c r="K80" s="176"/>
      <c r="L80" s="176"/>
      <c r="M80" s="176"/>
      <c r="N80" s="176"/>
      <c r="O80" s="176"/>
      <c r="P80" s="176"/>
      <c r="Q80" s="176"/>
    </row>
    <row r="81" spans="3:26" ht="15.6" hidden="1" outlineLevel="1">
      <c r="D81" s="155" t="s">
        <v>425</v>
      </c>
      <c r="E81" s="196"/>
      <c r="F81" s="196"/>
      <c r="H81" s="247" t="s">
        <v>415</v>
      </c>
      <c r="I81" s="176"/>
      <c r="J81" s="176"/>
      <c r="K81" s="176"/>
      <c r="L81" s="176"/>
      <c r="M81" s="176"/>
      <c r="N81" s="176"/>
      <c r="O81" s="176"/>
      <c r="P81" s="176"/>
      <c r="Q81" s="176"/>
    </row>
    <row r="82" spans="3:26" ht="15.6" hidden="1" outlineLevel="1">
      <c r="D82" s="63" t="s">
        <v>426</v>
      </c>
      <c r="E82" s="183"/>
      <c r="F82" s="182"/>
      <c r="G82" s="182">
        <v>11.48</v>
      </c>
      <c r="H82" s="475">
        <f>AVERAGE(G82:G83)</f>
        <v>15.74</v>
      </c>
      <c r="I82" s="176"/>
      <c r="J82" s="176"/>
      <c r="K82" s="176"/>
      <c r="L82" s="176"/>
      <c r="M82" s="176"/>
      <c r="N82" s="176"/>
      <c r="O82" s="176"/>
      <c r="P82" s="176"/>
      <c r="Q82" s="176"/>
    </row>
    <row r="83" spans="3:26" ht="15.95" hidden="1" outlineLevel="1" thickBot="1">
      <c r="D83" s="63" t="s">
        <v>427</v>
      </c>
      <c r="E83" s="183" t="s">
        <v>418</v>
      </c>
      <c r="F83" s="183" t="s">
        <v>418</v>
      </c>
      <c r="G83" s="182">
        <v>20</v>
      </c>
      <c r="H83" s="476"/>
    </row>
    <row r="84" spans="3:26" ht="15.6" collapsed="1">
      <c r="D84" s="1"/>
      <c r="E84" s="196"/>
      <c r="F84" s="196"/>
      <c r="G84" s="196"/>
      <c r="H84" s="196"/>
    </row>
    <row r="85" spans="3:26" s="106" customFormat="1" ht="26.1">
      <c r="D85" s="380" t="s">
        <v>274</v>
      </c>
      <c r="E85" s="194"/>
      <c r="F85" s="194"/>
      <c r="G85" s="194"/>
      <c r="H85" s="194"/>
      <c r="I85" s="194"/>
      <c r="J85" s="194"/>
      <c r="K85" s="194"/>
      <c r="L85" s="194"/>
      <c r="M85" s="194"/>
      <c r="N85" s="194"/>
      <c r="O85" s="194"/>
      <c r="P85" s="194"/>
      <c r="Q85" s="194"/>
      <c r="R85" s="21"/>
      <c r="S85" s="21"/>
      <c r="T85" s="21"/>
      <c r="U85" s="21"/>
      <c r="V85" s="21"/>
      <c r="W85" s="21"/>
      <c r="X85" s="21"/>
      <c r="Y85" s="21"/>
      <c r="Z85" s="21"/>
    </row>
    <row r="86" spans="3:26" ht="15" hidden="1" outlineLevel="1" thickBot="1"/>
    <row r="87" spans="3:26" ht="15.6" hidden="1" outlineLevel="1">
      <c r="D87" s="155" t="s">
        <v>425</v>
      </c>
      <c r="E87" s="196"/>
      <c r="F87" s="196"/>
      <c r="G87" s="247" t="s">
        <v>415</v>
      </c>
    </row>
    <row r="88" spans="3:26" ht="15.6" hidden="1" outlineLevel="1">
      <c r="D88" s="63" t="s">
        <v>426</v>
      </c>
      <c r="E88" s="183"/>
      <c r="F88" s="182"/>
      <c r="G88" s="255">
        <v>11.48</v>
      </c>
    </row>
    <row r="89" spans="3:26" ht="15.6" hidden="1" outlineLevel="1">
      <c r="C89" s="63" t="s">
        <v>353</v>
      </c>
      <c r="D89" s="63" t="s">
        <v>428</v>
      </c>
      <c r="E89" s="183"/>
      <c r="F89" s="182"/>
      <c r="G89" s="255">
        <v>9.35</v>
      </c>
      <c r="H89" s="176"/>
      <c r="I89" s="176"/>
      <c r="J89" s="176"/>
      <c r="K89" s="176"/>
      <c r="L89" s="176"/>
      <c r="M89" s="176"/>
      <c r="N89" s="176"/>
      <c r="O89" s="176"/>
      <c r="P89" s="176"/>
      <c r="Q89" s="176"/>
    </row>
    <row r="90" spans="3:26" ht="15.95" hidden="1" outlineLevel="1" thickBot="1">
      <c r="C90" s="63" t="s">
        <v>30</v>
      </c>
      <c r="D90" s="63" t="s">
        <v>429</v>
      </c>
      <c r="E90" s="183"/>
      <c r="F90" s="182"/>
      <c r="G90" s="256">
        <v>11.47</v>
      </c>
      <c r="H90" s="176"/>
      <c r="I90" s="176"/>
      <c r="J90" s="176"/>
      <c r="K90" s="176"/>
      <c r="L90" s="176"/>
      <c r="M90" s="176"/>
      <c r="N90" s="176"/>
      <c r="O90" s="176"/>
      <c r="P90" s="176"/>
      <c r="Q90" s="176"/>
    </row>
    <row r="91" spans="3:26" ht="15" hidden="1" outlineLevel="1" thickBot="1"/>
    <row r="92" spans="3:26" ht="31.5" hidden="1" outlineLevel="1" thickBot="1">
      <c r="D92" s="155" t="s">
        <v>430</v>
      </c>
      <c r="E92" s="158"/>
      <c r="F92" s="158"/>
      <c r="G92" s="247" t="s">
        <v>415</v>
      </c>
      <c r="H92" s="247" t="s">
        <v>431</v>
      </c>
    </row>
    <row r="93" spans="3:26" ht="15.6" hidden="1" outlineLevel="1">
      <c r="D93" s="63" t="s">
        <v>354</v>
      </c>
      <c r="E93" s="183">
        <v>48</v>
      </c>
      <c r="F93" s="182">
        <v>49</v>
      </c>
      <c r="G93" s="257">
        <v>48.5</v>
      </c>
      <c r="H93" s="257">
        <f t="shared" ref="H93:H98" si="5">MIN(E93:F93)</f>
        <v>48</v>
      </c>
    </row>
    <row r="94" spans="3:26" ht="15.6" hidden="1" outlineLevel="1">
      <c r="D94" s="63" t="s">
        <v>355</v>
      </c>
      <c r="E94" s="183">
        <v>48</v>
      </c>
      <c r="F94" s="182">
        <v>49</v>
      </c>
      <c r="G94" s="255">
        <v>48.5</v>
      </c>
      <c r="H94" s="255">
        <f t="shared" si="5"/>
        <v>48</v>
      </c>
    </row>
    <row r="95" spans="3:26" ht="15.6" hidden="1" outlineLevel="1">
      <c r="D95" s="63" t="s">
        <v>356</v>
      </c>
      <c r="E95" s="183">
        <v>60</v>
      </c>
      <c r="F95" s="182">
        <v>97</v>
      </c>
      <c r="G95" s="255">
        <v>78.5</v>
      </c>
      <c r="H95" s="255">
        <f t="shared" si="5"/>
        <v>60</v>
      </c>
    </row>
    <row r="96" spans="3:26" ht="15.6" hidden="1" outlineLevel="1">
      <c r="D96" s="63" t="s">
        <v>357</v>
      </c>
      <c r="E96" s="183">
        <v>60</v>
      </c>
      <c r="F96" s="182">
        <v>97</v>
      </c>
      <c r="G96" s="255">
        <v>78.5</v>
      </c>
      <c r="H96" s="255">
        <f t="shared" si="5"/>
        <v>60</v>
      </c>
    </row>
    <row r="97" spans="4:26" ht="15.6" hidden="1" outlineLevel="1">
      <c r="D97" s="63" t="s">
        <v>358</v>
      </c>
      <c r="E97" s="183">
        <v>60</v>
      </c>
      <c r="F97" s="182">
        <v>97</v>
      </c>
      <c r="G97" s="255">
        <v>78.5</v>
      </c>
      <c r="H97" s="255">
        <f t="shared" si="5"/>
        <v>60</v>
      </c>
    </row>
    <row r="98" spans="4:26" ht="15.95" hidden="1" outlineLevel="1" thickBot="1">
      <c r="D98" s="63" t="s">
        <v>359</v>
      </c>
      <c r="E98" s="183">
        <v>60</v>
      </c>
      <c r="F98" s="305">
        <v>97</v>
      </c>
      <c r="G98" s="256">
        <v>78.5</v>
      </c>
      <c r="H98" s="256">
        <f t="shared" si="5"/>
        <v>60</v>
      </c>
    </row>
    <row r="99" spans="4:26" ht="15.95" hidden="1" outlineLevel="1" thickBot="1">
      <c r="D99" s="176"/>
      <c r="E99" s="196"/>
      <c r="F99" s="306" t="s">
        <v>415</v>
      </c>
      <c r="G99" s="307">
        <f>AVERAGE(G93:G98)</f>
        <v>68.5</v>
      </c>
      <c r="H99" s="307">
        <f>AVERAGE(H93:H98)</f>
        <v>56</v>
      </c>
    </row>
    <row r="100" spans="4:26" collapsed="1"/>
    <row r="101" spans="4:26" s="106" customFormat="1" ht="26.1">
      <c r="D101" s="201" t="s">
        <v>286</v>
      </c>
      <c r="E101" s="200"/>
      <c r="F101" s="200"/>
      <c r="G101" s="200"/>
      <c r="H101" s="200"/>
      <c r="I101" s="200"/>
      <c r="J101" s="200"/>
      <c r="K101" s="200"/>
      <c r="L101" s="200"/>
      <c r="M101" s="200"/>
      <c r="N101" s="200"/>
      <c r="O101" s="200"/>
      <c r="P101" s="200"/>
      <c r="Q101" s="200"/>
      <c r="R101" s="200"/>
      <c r="S101" s="200"/>
      <c r="T101" s="200"/>
      <c r="U101" s="200"/>
      <c r="V101" s="200"/>
      <c r="W101" s="200"/>
      <c r="X101" s="200"/>
      <c r="Y101" s="200"/>
      <c r="Z101" s="200"/>
    </row>
    <row r="102" spans="4:26" hidden="1" outlineLevel="1"/>
    <row r="103" spans="4:26" ht="15.6" hidden="1" outlineLevel="1">
      <c r="D103" s="155" t="s">
        <v>432</v>
      </c>
    </row>
    <row r="104" spans="4:26" collapsed="1"/>
  </sheetData>
  <mergeCells count="5">
    <mergeCell ref="E60:G60"/>
    <mergeCell ref="E30:G30"/>
    <mergeCell ref="E39:G40"/>
    <mergeCell ref="E25:H25"/>
    <mergeCell ref="H82:H8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85db5ab-04b5-4709-a1a6-dfc89774f560">
      <Terms xmlns="http://schemas.microsoft.com/office/infopath/2007/PartnerControls"/>
    </lcf76f155ced4ddcb4097134ff3c332f>
    <TaxCatchAll xmlns="2f9c22ea-7d19-4020-b25a-6065b8685b6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89696f85-8951-4fae-835c-70d7dd3e6798"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8DBE360BE880314F92D8C7B64D33C601" ma:contentTypeVersion="16" ma:contentTypeDescription="Create a new document." ma:contentTypeScope="" ma:versionID="be2a17e9e9ef5cd3c4093194eab81243">
  <xsd:schema xmlns:xsd="http://www.w3.org/2001/XMLSchema" xmlns:xs="http://www.w3.org/2001/XMLSchema" xmlns:p="http://schemas.microsoft.com/office/2006/metadata/properties" xmlns:ns2="885db5ab-04b5-4709-a1a6-dfc89774f560" xmlns:ns3="2f9c22ea-7d19-4020-b25a-6065b8685b64" targetNamespace="http://schemas.microsoft.com/office/2006/metadata/properties" ma:root="true" ma:fieldsID="aa57d9a13d3724d83dfe1cd7bb1f360e" ns2:_="" ns3:_="">
    <xsd:import namespace="885db5ab-04b5-4709-a1a6-dfc89774f560"/>
    <xsd:import namespace="2f9c22ea-7d19-4020-b25a-6065b8685b6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5db5ab-04b5-4709-a1a6-dfc89774f5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9696f85-8951-4fae-835c-70d7dd3e6798"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9c22ea-7d19-4020-b25a-6065b8685b6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ff6fd37-10b4-481e-9dff-e36d3b194f0a}" ma:internalName="TaxCatchAll" ma:showField="CatchAllData" ma:web="2f9c22ea-7d19-4020-b25a-6065b8685b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8E7956-7A4A-4A88-9260-CD96DD2C3844}"/>
</file>

<file path=customXml/itemProps2.xml><?xml version="1.0" encoding="utf-8"?>
<ds:datastoreItem xmlns:ds="http://schemas.openxmlformats.org/officeDocument/2006/customXml" ds:itemID="{CCD5B89C-808B-4734-81C4-006A664E2139}"/>
</file>

<file path=customXml/itemProps3.xml><?xml version="1.0" encoding="utf-8"?>
<ds:datastoreItem xmlns:ds="http://schemas.openxmlformats.org/officeDocument/2006/customXml" ds:itemID="{CE0F602D-7D65-4544-BDCE-8F9B3C8DD98B}"/>
</file>

<file path=customXml/itemProps4.xml><?xml version="1.0" encoding="utf-8"?>
<ds:datastoreItem xmlns:ds="http://schemas.openxmlformats.org/officeDocument/2006/customXml" ds:itemID="{58FB3F48-B420-45A8-A330-D6263F73EE6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Yann Grandemange</dc:creator>
  <cp:keywords/>
  <dc:description/>
  <cp:lastModifiedBy/>
  <cp:revision/>
  <dcterms:created xsi:type="dcterms:W3CDTF">2024-01-30T17:47:59Z</dcterms:created>
  <dcterms:modified xsi:type="dcterms:W3CDTF">2025-06-19T12:57:50Z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0x0101008DBE360BE880314F92D8C7B64D33C601</vt:lpwstr>
  </property>
</Properties>
</file>